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ax Office\Tax Rates\"/>
    </mc:Choice>
  </mc:AlternateContent>
  <bookViews>
    <workbookView xWindow="0" yWindow="0" windowWidth="21555" windowHeight="8040" activeTab="4"/>
  </bookViews>
  <sheets>
    <sheet name="COUNTY" sheetId="3" r:id="rId1"/>
    <sheet name="ISD" sheetId="1" r:id="rId2"/>
    <sheet name="CITY" sheetId="2" r:id="rId3"/>
    <sheet name="SPECIAL DIS." sheetId="4" r:id="rId4"/>
    <sheet name="Sheet5" sheetId="5" r:id="rId5"/>
  </sheets>
  <calcPr calcId="162913"/>
</workbook>
</file>

<file path=xl/calcChain.xml><?xml version="1.0" encoding="utf-8"?>
<calcChain xmlns="http://schemas.openxmlformats.org/spreadsheetml/2006/main">
  <c r="K102" i="5" l="1"/>
  <c r="K138" i="5" l="1"/>
  <c r="K139" i="5"/>
  <c r="K140" i="5"/>
  <c r="K141" i="5"/>
  <c r="K60" i="5" l="1"/>
  <c r="K126" i="5" l="1"/>
  <c r="K127" i="5"/>
  <c r="K128" i="5"/>
  <c r="K72" i="5" l="1"/>
  <c r="K120" i="5" l="1"/>
  <c r="J53" i="5"/>
  <c r="K90" i="5"/>
  <c r="J35" i="5"/>
  <c r="I10" i="5"/>
  <c r="J3" i="5" l="1"/>
  <c r="P3" i="5"/>
  <c r="J4" i="5"/>
  <c r="I22" i="5" l="1"/>
  <c r="J41" i="5"/>
  <c r="J29" i="5"/>
  <c r="K66" i="5"/>
  <c r="I16" i="5" l="1"/>
  <c r="J47" i="5"/>
  <c r="J48" i="5"/>
  <c r="K103" i="5" l="1"/>
  <c r="K73" i="5" l="1"/>
  <c r="J36" i="5" l="1"/>
  <c r="K121" i="5"/>
  <c r="I23" i="5" l="1"/>
  <c r="K61" i="5" l="1"/>
  <c r="C23" i="5" l="1"/>
  <c r="E127" i="5"/>
  <c r="E121" i="5"/>
  <c r="E109" i="5"/>
  <c r="E67" i="5"/>
  <c r="E61" i="5"/>
  <c r="K67" i="5" l="1"/>
  <c r="J54" i="5"/>
  <c r="J42" i="5"/>
  <c r="J30" i="5"/>
  <c r="I17" i="5"/>
  <c r="I11" i="5"/>
  <c r="M6" i="5" l="1"/>
  <c r="M7" i="5"/>
  <c r="K104" i="5" l="1"/>
  <c r="J55" i="5" l="1"/>
  <c r="K86" i="5" l="1"/>
  <c r="K134" i="5" l="1"/>
  <c r="J43" i="5" l="1"/>
  <c r="J31" i="5" l="1"/>
  <c r="K81" i="5" l="1"/>
  <c r="K82" i="5"/>
  <c r="K15" i="4" l="1"/>
  <c r="K14" i="4"/>
  <c r="K13" i="4"/>
  <c r="K10" i="4"/>
  <c r="K6" i="4"/>
  <c r="K4" i="4"/>
  <c r="K3" i="4"/>
  <c r="I4" i="2"/>
  <c r="J6" i="1"/>
  <c r="J5" i="1"/>
  <c r="K3" i="3"/>
  <c r="K105" i="5" l="1"/>
  <c r="K63" i="5" l="1"/>
  <c r="K129" i="5" l="1"/>
  <c r="I19" i="5" l="1"/>
  <c r="K135" i="5" l="1"/>
  <c r="J44" i="5"/>
  <c r="K123" i="5" l="1"/>
  <c r="J50" i="5"/>
  <c r="K69" i="5" l="1"/>
  <c r="E51" i="5" l="1"/>
  <c r="E39" i="5"/>
  <c r="J51" i="5" l="1"/>
</calcChain>
</file>

<file path=xl/sharedStrings.xml><?xml version="1.0" encoding="utf-8"?>
<sst xmlns="http://schemas.openxmlformats.org/spreadsheetml/2006/main" count="222" uniqueCount="89">
  <si>
    <t>ISD #</t>
  </si>
  <si>
    <t>ISD Name</t>
  </si>
  <si>
    <t>Market Value</t>
  </si>
  <si>
    <t>Taxable Value for M&amp;O Purposes</t>
  </si>
  <si>
    <t>Taxable Value for I&amp;S Purposes</t>
  </si>
  <si>
    <t>Effective Tax Rate</t>
  </si>
  <si>
    <t>Rollback Tax Rate</t>
  </si>
  <si>
    <t>M&amp;O Tax Rate</t>
  </si>
  <si>
    <t>I&amp;S Tax Rate</t>
  </si>
  <si>
    <t>Total Tax Rate</t>
  </si>
  <si>
    <t xml:space="preserve">Tax Levy (calculated) </t>
  </si>
  <si>
    <t>036-901</t>
  </si>
  <si>
    <t>036-902</t>
  </si>
  <si>
    <t>036-903</t>
  </si>
  <si>
    <t>101-911</t>
  </si>
  <si>
    <t>101-916</t>
  </si>
  <si>
    <t>Anahuac Independent School District</t>
  </si>
  <si>
    <t>Barbers Hill Independent School District</t>
  </si>
  <si>
    <t>East Chambers Independent School District</t>
  </si>
  <si>
    <t>Goose Creek Consolidated  Independent School District</t>
  </si>
  <si>
    <t>La Porte Independent School District</t>
  </si>
  <si>
    <t>036-101</t>
  </si>
  <si>
    <t>City of Anahuac</t>
  </si>
  <si>
    <t>036-102</t>
  </si>
  <si>
    <t>City of Mont Belvieu</t>
  </si>
  <si>
    <t>101-120</t>
  </si>
  <si>
    <t>City of Baytown</t>
  </si>
  <si>
    <t>City #</t>
  </si>
  <si>
    <t>City Name</t>
  </si>
  <si>
    <t>Taxable Value</t>
  </si>
  <si>
    <t>Levy (calculated)</t>
  </si>
  <si>
    <t>County Name</t>
  </si>
  <si>
    <t>Farm-to-Market and Flood Control Taxable Value</t>
  </si>
  <si>
    <t>General Fund and Road &amp; Bridge Taxable Value</t>
  </si>
  <si>
    <t>Farm-to-Market &amp; Flood Control M&amp;O Tax Rate</t>
  </si>
  <si>
    <t>Farm-to-Market &amp; Flood Control I&amp;S Tax Rate</t>
  </si>
  <si>
    <t>Farm-to-Market &amp; Flood Control Total Tax Rate</t>
  </si>
  <si>
    <t>General Fund M&amp;O Tax Rate</t>
  </si>
  <si>
    <t>General Fund I&amp;S Tax Rate</t>
  </si>
  <si>
    <t>General Fund Total Tax Rate</t>
  </si>
  <si>
    <t>Road &amp; Bridge M&amp;O Tax Rate</t>
  </si>
  <si>
    <t>Road &amp; Bridge I&amp;S Tax Rate</t>
  </si>
  <si>
    <t>Road &amp; Bridge Total Tax Rate</t>
  </si>
  <si>
    <t>Total Levey (Calculated)</t>
  </si>
  <si>
    <t>036-201</t>
  </si>
  <si>
    <t>Chambers County Municipal Utility District</t>
  </si>
  <si>
    <t>Chambers County Improvement District #1</t>
  </si>
  <si>
    <t>Chambers County Public Hospital District #1</t>
  </si>
  <si>
    <t>X</t>
  </si>
  <si>
    <t>Chambers-Liberty County Navigation District</t>
  </si>
  <si>
    <t>Trinity Bay Conservation District</t>
  </si>
  <si>
    <t>Chambers Co School Equalization District *</t>
  </si>
  <si>
    <t>Chambers County ESD #1 *</t>
  </si>
  <si>
    <t>036-202</t>
  </si>
  <si>
    <t>Chambers County ID #2 *</t>
  </si>
  <si>
    <t>Cedar Bayou Navigation District</t>
  </si>
  <si>
    <t>036-203</t>
  </si>
  <si>
    <t>Chambers County ID #3 *</t>
  </si>
  <si>
    <t>101-202</t>
  </si>
  <si>
    <t>Lee Junior College District **</t>
  </si>
  <si>
    <t>101-203</t>
  </si>
  <si>
    <t>San Jacinto Junior College District * **</t>
  </si>
  <si>
    <t>123-202</t>
  </si>
  <si>
    <t>Jefferson County Drainage District #6</t>
  </si>
  <si>
    <t>Taxing Unit #</t>
  </si>
  <si>
    <t>Class</t>
  </si>
  <si>
    <t>Split</t>
  </si>
  <si>
    <t>Taxing Unit Name</t>
  </si>
  <si>
    <t>Chambers County</t>
  </si>
  <si>
    <t>School Districts</t>
  </si>
  <si>
    <t>CITYS OF CHAMBERS COUNTY</t>
  </si>
  <si>
    <t xml:space="preserve">SPECIAL DISTRICTS </t>
  </si>
  <si>
    <t>County #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</si>
  <si>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</si>
  <si>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</si>
  <si>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</si>
  <si>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</si>
  <si>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</si>
  <si>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</si>
  <si>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</si>
  <si>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</si>
  <si>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</si>
  <si>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</si>
  <si>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</si>
  <si>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Voter Approval Tax Rate</t>
  </si>
  <si>
    <t>No New Revenue Tax Rate</t>
  </si>
  <si>
    <t>No New RevenueTax Rate</t>
  </si>
  <si>
    <t>Lee Junior College District *</t>
  </si>
  <si>
    <t>Chambers County Municipal Utility District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</si>
</sst>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00000"/>
    <numFmt numFmtId="166" formatCode="0.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39997558519241921"/>
      </bottom>
      <diagonal/>
    </border>
    <border>
      <left/>
      <right style="thin">
        <color theme="4" tint="0.59999389629810485"/>
      </right>
      <top/>
      <bottom style="thin">
        <color theme="4" tint="0.39997558519241921"/>
      </bottom>
      <diagonal/>
    </border>
    <border>
      <left/>
      <right style="thin">
        <color theme="4" tint="0.59999389629810485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3999755851924192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8" fillId="0" borderId="0"/>
    <xf numFmtId="0" fontId="20" fillId="0" borderId="0"/>
    <xf numFmtId="0" fontId="20" fillId="0" borderId="0"/>
  </cellStyleXfs>
  <cellXfs count="180">
    <xf numFmtId="0" fontId="0" fillId="0" borderId="0" xfId="0"/>
    <xf numFmtId="0" fontId="21" fillId="0" borderId="11" xfId="0" applyFont="1" applyBorder="1"/>
    <xf numFmtId="0" fontId="27" fillId="33" borderId="11" xfId="0" applyFont="1" applyFill="1" applyBorder="1" applyAlignment="1">
      <alignment horizontal="center" wrapText="1"/>
    </xf>
    <xf numFmtId="3" fontId="21" fillId="0" borderId="0" xfId="0" applyNumberFormat="1" applyFont="1" applyAlignment="1">
      <alignment horizontal="center"/>
    </xf>
    <xf numFmtId="0" fontId="21" fillId="0" borderId="0" xfId="47" quotePrefix="1" applyFont="1" applyAlignment="1">
      <alignment horizontal="center" wrapText="1"/>
    </xf>
    <xf numFmtId="0" fontId="21" fillId="0" borderId="0" xfId="47" applyFont="1" applyAlignment="1">
      <alignment horizontal="center" wrapText="1"/>
    </xf>
    <xf numFmtId="0" fontId="19" fillId="0" borderId="0" xfId="47" quotePrefix="1" applyFont="1" applyAlignment="1">
      <alignment horizontal="center" wrapText="1"/>
    </xf>
    <xf numFmtId="0" fontId="21" fillId="0" borderId="0" xfId="47" quotePrefix="1" applyFont="1" applyAlignment="1">
      <alignment horizontal="center"/>
    </xf>
    <xf numFmtId="0" fontId="21" fillId="0" borderId="0" xfId="0" applyFont="1"/>
    <xf numFmtId="0" fontId="21" fillId="0" borderId="0" xfId="47" quotePrefix="1" applyFont="1" applyAlignment="1">
      <alignment horizontal="center" wrapText="1"/>
    </xf>
    <xf numFmtId="0" fontId="21" fillId="0" borderId="0" xfId="47" applyFont="1" applyAlignment="1">
      <alignment horizontal="center" wrapText="1"/>
    </xf>
    <xf numFmtId="0" fontId="21" fillId="0" borderId="0" xfId="47" quotePrefix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 wrapText="1"/>
    </xf>
    <xf numFmtId="3" fontId="21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0" fillId="0" borderId="0" xfId="0"/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  <xf numFmtId="0" fontId="19" fillId="0" borderId="0" xfId="45" applyFont="1" applyFill="1" applyBorder="1" applyAlignment="1" applyProtection="1">
      <alignment horizontal="center" wrapText="1"/>
      <protection locked="0"/>
    </xf>
    <xf numFmtId="164" fontId="21" fillId="0" borderId="0" xfId="0" applyNumberFormat="1" applyFont="1" applyFill="1" applyBorder="1" applyAlignment="1">
      <alignment horizontal="center" wrapText="1"/>
    </xf>
    <xf numFmtId="164" fontId="21" fillId="0" borderId="0" xfId="0" applyNumberFormat="1" applyFont="1" applyFill="1" applyAlignment="1">
      <alignment horizontal="center" wrapText="1"/>
    </xf>
    <xf numFmtId="164" fontId="21" fillId="0" borderId="0" xfId="0" quotePrefix="1" applyNumberFormat="1" applyFont="1" applyFill="1" applyAlignment="1">
      <alignment horizontal="center" wrapText="1"/>
    </xf>
    <xf numFmtId="3" fontId="19" fillId="0" borderId="0" xfId="0" quotePrefix="1" applyNumberFormat="1" applyFont="1" applyFill="1" applyAlignment="1">
      <alignment horizontal="center" wrapText="1"/>
    </xf>
    <xf numFmtId="164" fontId="27" fillId="33" borderId="11" xfId="0" applyNumberFormat="1" applyFont="1" applyFill="1" applyBorder="1" applyAlignment="1">
      <alignment horizontal="center" wrapText="1"/>
    </xf>
    <xf numFmtId="164" fontId="21" fillId="33" borderId="12" xfId="0" applyNumberFormat="1" applyFont="1" applyFill="1" applyBorder="1" applyAlignment="1">
      <alignment horizontal="center" wrapText="1"/>
    </xf>
    <xf numFmtId="0" fontId="28" fillId="0" borderId="0" xfId="0" applyFont="1"/>
    <xf numFmtId="0" fontId="29" fillId="0" borderId="0" xfId="47" quotePrefix="1" applyFont="1" applyAlignment="1">
      <alignment horizontal="center" wrapText="1"/>
    </xf>
    <xf numFmtId="0" fontId="29" fillId="0" borderId="0" xfId="45" applyFont="1" applyFill="1" applyBorder="1" applyAlignment="1" applyProtection="1">
      <alignment horizontal="center" wrapText="1"/>
      <protection locked="0"/>
    </xf>
    <xf numFmtId="3" fontId="21" fillId="0" borderId="11" xfId="0" applyNumberFormat="1" applyFont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0" fillId="0" borderId="0" xfId="0" applyNumberFormat="1"/>
    <xf numFmtId="165" fontId="21" fillId="0" borderId="10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/>
    </xf>
    <xf numFmtId="0" fontId="21" fillId="34" borderId="11" xfId="0" applyFont="1" applyFill="1" applyBorder="1" applyAlignment="1">
      <alignment horizontal="center"/>
    </xf>
    <xf numFmtId="164" fontId="31" fillId="33" borderId="11" xfId="0" applyNumberFormat="1" applyFont="1" applyFill="1" applyBorder="1" applyAlignment="1">
      <alignment horizontal="center" wrapText="1"/>
    </xf>
    <xf numFmtId="164" fontId="30" fillId="0" borderId="11" xfId="0" applyNumberFormat="1" applyFont="1" applyFill="1" applyBorder="1" applyAlignment="1">
      <alignment horizontal="center" wrapText="1"/>
    </xf>
    <xf numFmtId="164" fontId="30" fillId="0" borderId="12" xfId="0" applyNumberFormat="1" applyFont="1" applyFill="1" applyBorder="1" applyAlignment="1">
      <alignment horizontal="center" wrapText="1"/>
    </xf>
    <xf numFmtId="4" fontId="21" fillId="0" borderId="0" xfId="0" applyNumberFormat="1" applyFont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32" fillId="34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0" fillId="0" borderId="11" xfId="0" applyFont="1" applyBorder="1"/>
    <xf numFmtId="0" fontId="30" fillId="0" borderId="11" xfId="0" applyFont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1" fillId="34" borderId="14" xfId="0" applyFont="1" applyFill="1" applyBorder="1" applyAlignment="1">
      <alignment horizontal="center"/>
    </xf>
    <xf numFmtId="164" fontId="21" fillId="0" borderId="16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  <xf numFmtId="165" fontId="21" fillId="0" borderId="18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34" borderId="0" xfId="0" applyFont="1" applyFill="1" applyBorder="1" applyAlignment="1">
      <alignment horizontal="center"/>
    </xf>
    <xf numFmtId="165" fontId="21" fillId="0" borderId="21" xfId="0" applyNumberFormat="1" applyFont="1" applyBorder="1" applyAlignment="1">
      <alignment horizontal="center"/>
    </xf>
    <xf numFmtId="0" fontId="21" fillId="34" borderId="13" xfId="0" applyFont="1" applyFill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3" fontId="21" fillId="0" borderId="22" xfId="0" applyNumberFormat="1" applyFont="1" applyBorder="1" applyAlignment="1">
      <alignment horizontal="center"/>
    </xf>
    <xf numFmtId="0" fontId="0" fillId="0" borderId="26" xfId="0" applyBorder="1"/>
    <xf numFmtId="165" fontId="21" fillId="0" borderId="13" xfId="0" applyNumberFormat="1" applyFont="1" applyBorder="1" applyAlignment="1">
      <alignment horizontal="center"/>
    </xf>
    <xf numFmtId="165" fontId="21" fillId="0" borderId="15" xfId="0" applyNumberFormat="1" applyFont="1" applyBorder="1" applyAlignment="1">
      <alignment horizontal="center"/>
    </xf>
    <xf numFmtId="164" fontId="21" fillId="0" borderId="22" xfId="0" applyNumberFormat="1" applyFont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165" fontId="21" fillId="0" borderId="20" xfId="0" applyNumberFormat="1" applyFont="1" applyBorder="1" applyAlignment="1">
      <alignment horizontal="center"/>
    </xf>
    <xf numFmtId="0" fontId="0" fillId="0" borderId="27" xfId="0" applyBorder="1"/>
    <xf numFmtId="165" fontId="26" fillId="0" borderId="18" xfId="0" applyNumberFormat="1" applyFont="1" applyBorder="1" applyAlignment="1">
      <alignment horizontal="center"/>
    </xf>
    <xf numFmtId="0" fontId="0" fillId="34" borderId="13" xfId="0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" fontId="19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0" xfId="0" applyFont="1" applyAlignment="1">
      <alignment horizontal="left"/>
    </xf>
    <xf numFmtId="3" fontId="19" fillId="0" borderId="11" xfId="0" applyNumberFormat="1" applyFont="1" applyBorder="1" applyAlignment="1">
      <alignment horizontal="center" wrapText="1"/>
    </xf>
    <xf numFmtId="3" fontId="19" fillId="0" borderId="21" xfId="0" applyNumberFormat="1" applyFont="1" applyBorder="1" applyAlignment="1">
      <alignment horizontal="center"/>
    </xf>
    <xf numFmtId="164" fontId="19" fillId="0" borderId="11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34" borderId="11" xfId="0" applyFont="1" applyFill="1" applyBorder="1" applyAlignment="1">
      <alignment horizontal="left"/>
    </xf>
    <xf numFmtId="3" fontId="19" fillId="0" borderId="10" xfId="0" applyNumberFormat="1" applyFont="1" applyBorder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3" fontId="19" fillId="0" borderId="19" xfId="0" applyNumberFormat="1" applyFont="1" applyBorder="1" applyAlignment="1">
      <alignment horizontal="center"/>
    </xf>
    <xf numFmtId="164" fontId="19" fillId="0" borderId="22" xfId="0" applyNumberFormat="1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3" fontId="19" fillId="0" borderId="22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0" fontId="33" fillId="0" borderId="0" xfId="0" applyFont="1"/>
    <xf numFmtId="3" fontId="19" fillId="0" borderId="25" xfId="0" applyNumberFormat="1" applyFont="1" applyBorder="1" applyAlignment="1">
      <alignment horizontal="center"/>
    </xf>
    <xf numFmtId="165" fontId="19" fillId="0" borderId="20" xfId="0" applyNumberFormat="1" applyFont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3" fontId="35" fillId="0" borderId="0" xfId="0" applyNumberFormat="1" applyFont="1" applyAlignment="1">
      <alignment horizontal="center"/>
    </xf>
    <xf numFmtId="0" fontId="35" fillId="0" borderId="0" xfId="47" applyFont="1" applyFill="1" applyAlignment="1">
      <alignment horizontal="center" wrapText="1"/>
    </xf>
    <xf numFmtId="3" fontId="36" fillId="0" borderId="20" xfId="0" applyNumberFormat="1" applyFont="1" applyBorder="1" applyAlignment="1">
      <alignment horizontal="center"/>
    </xf>
    <xf numFmtId="165" fontId="36" fillId="0" borderId="20" xfId="0" applyNumberFormat="1" applyFont="1" applyBorder="1" applyAlignment="1">
      <alignment horizontal="center"/>
    </xf>
    <xf numFmtId="165" fontId="35" fillId="0" borderId="20" xfId="0" applyNumberFormat="1" applyFont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22" xfId="0" applyNumberFormat="1" applyFont="1" applyFill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34" fillId="0" borderId="11" xfId="0" applyNumberFormat="1" applyFont="1" applyBorder="1" applyAlignment="1">
      <alignment horizontal="center"/>
    </xf>
    <xf numFmtId="3" fontId="34" fillId="0" borderId="21" xfId="0" applyNumberFormat="1" applyFont="1" applyBorder="1" applyAlignment="1">
      <alignment horizontal="center"/>
    </xf>
    <xf numFmtId="3" fontId="21" fillId="0" borderId="12" xfId="0" applyNumberFormat="1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164" fontId="21" fillId="0" borderId="21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3" fontId="21" fillId="0" borderId="29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65" fontId="37" fillId="0" borderId="11" xfId="0" applyNumberFormat="1" applyFont="1" applyBorder="1" applyAlignment="1">
      <alignment horizontal="center"/>
    </xf>
    <xf numFmtId="3" fontId="37" fillId="0" borderId="11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3" fontId="19" fillId="0" borderId="0" xfId="0" applyNumberFormat="1" applyFont="1" applyFill="1" applyAlignment="1">
      <alignment horizontal="center"/>
    </xf>
    <xf numFmtId="0" fontId="21" fillId="0" borderId="0" xfId="47" quotePrefix="1" applyFont="1" applyFill="1" applyAlignment="1">
      <alignment horizontal="center"/>
    </xf>
    <xf numFmtId="0" fontId="21" fillId="0" borderId="0" xfId="47" quotePrefix="1" applyFont="1" applyFill="1" applyAlignment="1">
      <alignment horizontal="center" wrapText="1"/>
    </xf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3" fontId="39" fillId="0" borderId="19" xfId="0" applyNumberFormat="1" applyFont="1" applyBorder="1" applyAlignment="1">
      <alignment horizontal="center"/>
    </xf>
    <xf numFmtId="3" fontId="39" fillId="0" borderId="23" xfId="0" applyNumberFormat="1" applyFont="1" applyBorder="1" applyAlignment="1">
      <alignment horizontal="center"/>
    </xf>
    <xf numFmtId="3" fontId="39" fillId="0" borderId="0" xfId="0" applyNumberFormat="1" applyFont="1" applyAlignment="1">
      <alignment horizontal="center" wrapText="1"/>
    </xf>
    <xf numFmtId="164" fontId="39" fillId="0" borderId="24" xfId="0" applyNumberFormat="1" applyFont="1" applyBorder="1" applyAlignment="1">
      <alignment horizontal="center"/>
    </xf>
    <xf numFmtId="164" fontId="38" fillId="0" borderId="24" xfId="0" applyNumberFormat="1" applyFont="1" applyBorder="1" applyAlignment="1">
      <alignment horizontal="center"/>
    </xf>
    <xf numFmtId="3" fontId="38" fillId="0" borderId="0" xfId="0" applyNumberFormat="1" applyFont="1" applyAlignment="1">
      <alignment horizontal="center"/>
    </xf>
    <xf numFmtId="3" fontId="39" fillId="0" borderId="22" xfId="0" applyNumberFormat="1" applyFont="1" applyBorder="1" applyAlignment="1">
      <alignment horizontal="center"/>
    </xf>
    <xf numFmtId="164" fontId="39" fillId="0" borderId="0" xfId="0" applyNumberFormat="1" applyFont="1" applyAlignment="1">
      <alignment horizontal="center"/>
    </xf>
    <xf numFmtId="164" fontId="38" fillId="0" borderId="0" xfId="0" applyNumberFormat="1" applyFont="1" applyAlignment="1">
      <alignment horizontal="center"/>
    </xf>
    <xf numFmtId="3" fontId="39" fillId="0" borderId="0" xfId="0" applyNumberFormat="1" applyFont="1" applyAlignment="1">
      <alignment horizontal="center"/>
    </xf>
    <xf numFmtId="164" fontId="39" fillId="0" borderId="22" xfId="0" applyNumberFormat="1" applyFont="1" applyBorder="1" applyAlignment="1">
      <alignment horizontal="center"/>
    </xf>
    <xf numFmtId="164" fontId="39" fillId="0" borderId="20" xfId="0" applyNumberFormat="1" applyFont="1" applyBorder="1" applyAlignment="1">
      <alignment horizontal="center"/>
    </xf>
    <xf numFmtId="164" fontId="38" fillId="0" borderId="22" xfId="0" applyNumberFormat="1" applyFont="1" applyBorder="1" applyAlignment="1">
      <alignment horizontal="center"/>
    </xf>
    <xf numFmtId="164" fontId="38" fillId="0" borderId="20" xfId="0" applyNumberFormat="1" applyFont="1" applyBorder="1" applyAlignment="1">
      <alignment horizontal="center"/>
    </xf>
    <xf numFmtId="166" fontId="38" fillId="0" borderId="0" xfId="0" applyNumberFormat="1" applyFont="1" applyAlignment="1">
      <alignment horizontal="center"/>
    </xf>
    <xf numFmtId="3" fontId="38" fillId="0" borderId="0" xfId="0" applyNumberFormat="1" applyFont="1" applyAlignment="1">
      <alignment horizontal="center" wrapText="1"/>
    </xf>
    <xf numFmtId="0" fontId="26" fillId="34" borderId="13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34" borderId="1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0" fillId="34" borderId="14" xfId="0" applyFont="1" applyFill="1" applyBorder="1" applyAlignment="1">
      <alignment horizontal="center"/>
    </xf>
    <xf numFmtId="0" fontId="0" fillId="34" borderId="0" xfId="0" applyFont="1" applyFill="1" applyBorder="1" applyAlignment="1">
      <alignment horizontal="center"/>
    </xf>
    <xf numFmtId="3" fontId="39" fillId="0" borderId="0" xfId="0" applyNumberFormat="1" applyFont="1" applyFill="1" applyAlignment="1">
      <alignment horizontal="center" wrapText="1"/>
    </xf>
    <xf numFmtId="0" fontId="40" fillId="34" borderId="11" xfId="0" applyFont="1" applyFill="1" applyBorder="1" applyAlignment="1">
      <alignment horizontal="center"/>
    </xf>
    <xf numFmtId="164" fontId="40" fillId="0" borderId="11" xfId="0" applyNumberFormat="1" applyFont="1" applyBorder="1" applyAlignment="1">
      <alignment horizontal="center"/>
    </xf>
    <xf numFmtId="3" fontId="40" fillId="0" borderId="11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40" fillId="0" borderId="14" xfId="0" applyNumberFormat="1" applyFont="1" applyBorder="1" applyAlignment="1">
      <alignment horizontal="center"/>
    </xf>
    <xf numFmtId="3" fontId="40" fillId="0" borderId="14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28" fillId="0" borderId="0" xfId="0" applyFont="1" applyFill="1"/>
    <xf numFmtId="0" fontId="0" fillId="0" borderId="0" xfId="0" applyFill="1"/>
    <xf numFmtId="0" fontId="25" fillId="0" borderId="0" xfId="0" applyFont="1" applyFill="1"/>
    <xf numFmtId="0" fontId="38" fillId="0" borderId="0" xfId="0" applyFont="1" applyFill="1"/>
    <xf numFmtId="0" fontId="35" fillId="0" borderId="0" xfId="0" applyFont="1" applyFill="1" applyAlignment="1">
      <alignment horizontal="center" wrapText="1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2 2" xfId="45"/>
    <cellStyle name="Normal 24" xfId="46"/>
    <cellStyle name="Normal 3" xfId="47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000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.000000"/>
      <alignment horizontal="center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.000000"/>
      <alignment horizontal="center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.000000"/>
      <alignment horizontal="center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.000000"/>
      <alignment horizontal="center" vertical="bottom" textRotation="0" wrapText="0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.000000"/>
      <alignment horizontal="center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4" tint="0.59999389629810485"/>
        </left>
        <right style="thin">
          <color theme="4" tint="0.599993896298104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00000"/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4" name="Table4" displayName="Table4" ref="A1:R7" totalsRowShown="0" headerRowDxfId="64">
  <autoFilter ref="A1:R7"/>
  <tableColumns count="18">
    <tableColumn id="1" name="County #" dataDxfId="63"/>
    <tableColumn id="18" name="County Name" dataDxfId="62"/>
    <tableColumn id="2" name="Market Value" dataDxfId="61"/>
    <tableColumn id="3" name="Farm-to-Market and Flood Control Taxable Value" dataDxfId="60"/>
    <tableColumn id="4" name="General Fund and Road &amp; Bridge Taxable Value" dataDxfId="59"/>
    <tableColumn id="5" name="No New Revenue Tax Rate" dataDxfId="58"/>
    <tableColumn id="6" name="Voter Approval Tax Rate" dataDxfId="57"/>
    <tableColumn id="7" name="Farm-to-Market &amp; Flood Control M&amp;O Tax Rate" dataDxfId="56"/>
    <tableColumn id="8" name="Farm-to-Market &amp; Flood Control I&amp;S Tax Rate" dataDxfId="55"/>
    <tableColumn id="9" name="Farm-to-Market &amp; Flood Control Total Tax Rate" dataDxfId="54"/>
    <tableColumn id="10" name="General Fund M&amp;O Tax Rate" dataDxfId="53"/>
    <tableColumn id="11" name="General Fund I&amp;S Tax Rate" dataDxfId="52"/>
    <tableColumn id="12" name="General Fund Total Tax Rate" dataDxfId="51"/>
    <tableColumn id="13" name="Road &amp; Bridge M&amp;O Tax Rate" dataDxfId="50"/>
    <tableColumn id="14" name="Road &amp; Bridge I&amp;S Tax Rate" dataDxfId="49"/>
    <tableColumn id="15" name="Road &amp; Bridge Total Tax Rate" dataDxfId="48"/>
    <tableColumn id="16" name="Total Tax Rate" dataDxfId="47"/>
    <tableColumn id="17" name="Total Levey (Calculated)" dataDxfId="4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8:J26" totalsRowShown="0" headerRowDxfId="45" dataDxfId="44">
  <autoFilter ref="A8:J26"/>
  <tableColumns count="10">
    <tableColumn id="1" name="City #" dataDxfId="43" totalsRowDxfId="42"/>
    <tableColumn id="2" name="City Name" dataDxfId="41" totalsRowDxfId="40"/>
    <tableColumn id="3" name="Market Value" dataDxfId="39"/>
    <tableColumn id="4" name="Taxable Value" dataDxfId="38"/>
    <tableColumn id="5" name="No New Revenue Tax Rate" dataDxfId="37"/>
    <tableColumn id="6" name="Voter Approval Tax Rate" dataDxfId="36"/>
    <tableColumn id="7" name="M&amp;O Tax Rate" dataDxfId="35" totalsRowDxfId="34"/>
    <tableColumn id="8" name="I&amp;S Tax Rate" dataDxfId="33" totalsRowDxfId="32"/>
    <tableColumn id="9" name="Total Tax Rate" dataDxfId="31" totalsRowDxfId="30"/>
    <tableColumn id="10" name="Levy (calculated)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27:V57" totalsRowShown="0" headerRowDxfId="28" headerRowCellStyle="Normal 3">
  <autoFilter ref="A27:V57"/>
  <tableColumns count="22">
    <tableColumn id="1" name="ISD #" dataDxfId="27"/>
    <tableColumn id="2" name="ISD Name"/>
    <tableColumn id="3" name="Market Value" dataDxfId="26"/>
    <tableColumn id="4" name="Taxable Value for M&amp;O Purposes" dataDxfId="25"/>
    <tableColumn id="5" name="Taxable Value for I&amp;S Purposes" dataDxfId="24"/>
    <tableColumn id="6" name="No New Revenue Tax Rate" dataDxfId="23"/>
    <tableColumn id="7" name="Voter Approval Tax Rate"/>
    <tableColumn id="8" name="M&amp;O Tax Rate"/>
    <tableColumn id="9" name="I&amp;S Tax Rate"/>
    <tableColumn id="10" name="Total Tax Rate"/>
    <tableColumn id="11" name="Tax Levy (calculated) "/>
    <tableColumn id="12" name="Column1" dataDxfId="22"/>
    <tableColumn id="13" name="Column2"/>
    <tableColumn id="14" name="Column3"/>
    <tableColumn id="15" name="Column4" dataDxfId="21"/>
    <tableColumn id="16" name="Column5" dataDxfId="20"/>
    <tableColumn id="17" name="Column6" dataDxfId="19"/>
    <tableColumn id="18" name="Column7" dataDxfId="18"/>
    <tableColumn id="19" name="Column8" dataDxfId="17"/>
    <tableColumn id="20" name="Column9" dataDxfId="16"/>
    <tableColumn id="21" name="Column10" dataDxfId="15"/>
    <tableColumn id="22" name="Column11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58:L142" totalsRowShown="0" headerRowDxfId="13" dataDxfId="12">
  <autoFilter ref="A58:L142"/>
  <tableColumns count="12">
    <tableColumn id="1" name="Taxing Unit #" dataDxfId="11"/>
    <tableColumn id="4" name="Taxing Unit Name" dataDxfId="10"/>
    <tableColumn id="5" name="Class" dataDxfId="9"/>
    <tableColumn id="6" name="Split" dataDxfId="8"/>
    <tableColumn id="7" name="Market Value" dataDxfId="7"/>
    <tableColumn id="8" name="Taxable Value" dataDxfId="6"/>
    <tableColumn id="9" name="No New RevenueTax Rate" dataDxfId="5"/>
    <tableColumn id="10" name="Voter Approval Tax Rate" dataDxfId="4"/>
    <tableColumn id="11" name="M&amp;O Tax Rate" dataDxfId="3"/>
    <tableColumn id="12" name="I&amp;S Tax Rate" dataDxfId="2"/>
    <tableColumn id="2" name="Total Tax Rate" dataDxfId="1"/>
    <tableColumn id="3" name="Tax Levy (calculated)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zoomScale="90" zoomScaleNormal="90" workbookViewId="0">
      <selection activeCell="A3" sqref="A3:P3"/>
    </sheetView>
  </sheetViews>
  <sheetFormatPr defaultRowHeight="15" x14ac:dyDescent="0.25"/>
  <cols>
    <col min="1" max="1" width="15.42578125" bestFit="1" customWidth="1"/>
    <col min="2" max="3" width="14.28515625" bestFit="1" customWidth="1"/>
    <col min="6" max="6" width="9.7109375" customWidth="1"/>
    <col min="8" max="10" width="9.28515625" bestFit="1" customWidth="1"/>
    <col min="11" max="15" width="9.42578125" bestFit="1" customWidth="1"/>
    <col min="16" max="16" width="12.7109375" customWidth="1"/>
  </cols>
  <sheetData>
    <row r="1" spans="1:16" s="21" customFormat="1" ht="54" customHeight="1" x14ac:dyDescent="0.9">
      <c r="A1" s="170" t="s">
        <v>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ht="109.9" customHeight="1" x14ac:dyDescent="0.25">
      <c r="A2" s="17" t="s">
        <v>2</v>
      </c>
      <c r="B2" s="17" t="s">
        <v>32</v>
      </c>
      <c r="C2" s="17" t="s">
        <v>33</v>
      </c>
      <c r="D2" s="17" t="s">
        <v>5</v>
      </c>
      <c r="E2" s="17" t="s">
        <v>6</v>
      </c>
      <c r="F2" s="17" t="s">
        <v>34</v>
      </c>
      <c r="G2" s="17" t="s">
        <v>35</v>
      </c>
      <c r="H2" s="15" t="s">
        <v>36</v>
      </c>
      <c r="I2" s="15" t="s">
        <v>37</v>
      </c>
      <c r="J2" s="15" t="s">
        <v>38</v>
      </c>
      <c r="K2" s="15" t="s">
        <v>39</v>
      </c>
      <c r="L2" s="15" t="s">
        <v>40</v>
      </c>
      <c r="M2" s="15" t="s">
        <v>41</v>
      </c>
      <c r="N2" s="15" t="s">
        <v>42</v>
      </c>
      <c r="O2" s="15" t="s">
        <v>9</v>
      </c>
      <c r="P2" s="16" t="s">
        <v>43</v>
      </c>
    </row>
    <row r="3" spans="1:16" ht="15.75" x14ac:dyDescent="0.25">
      <c r="A3" s="83">
        <v>16438196870</v>
      </c>
      <c r="B3" s="83">
        <v>9451254847</v>
      </c>
      <c r="C3" s="83">
        <v>9473090127</v>
      </c>
      <c r="D3" s="84">
        <v>0.52374200000000004</v>
      </c>
      <c r="E3" s="84">
        <v>0.56142999999999998</v>
      </c>
      <c r="F3" s="84">
        <v>8.1715999999999997E-2</v>
      </c>
      <c r="G3" s="84">
        <v>0</v>
      </c>
      <c r="H3" s="84">
        <v>8.1715999999999997E-2</v>
      </c>
      <c r="I3" s="84">
        <v>0.35866300000000001</v>
      </c>
      <c r="J3" s="84">
        <v>5.2616000000000003E-2</v>
      </c>
      <c r="K3" s="39">
        <f>SUM(I3+J3)</f>
        <v>0.41127900000000001</v>
      </c>
      <c r="L3" s="84">
        <v>6.4999999999999997E-3</v>
      </c>
      <c r="M3" s="84">
        <v>0</v>
      </c>
      <c r="N3" s="84">
        <v>6.4999999999999997E-3</v>
      </c>
      <c r="O3" s="39">
        <v>0.54254800000000003</v>
      </c>
      <c r="P3" s="124">
        <v>51277594</v>
      </c>
    </row>
  </sheetData>
  <mergeCells count="1">
    <mergeCell ref="A1:P1"/>
  </mergeCells>
  <printOptions gridLines="1"/>
  <pageMargins left="0.7" right="0.7" top="0.75" bottom="0.75" header="0.3" footer="0.3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8" sqref="F8"/>
    </sheetView>
  </sheetViews>
  <sheetFormatPr defaultRowHeight="15" x14ac:dyDescent="0.25"/>
  <cols>
    <col min="2" max="2" width="51.28515625" style="48" bestFit="1" customWidth="1"/>
    <col min="3" max="3" width="15.140625" customWidth="1"/>
    <col min="4" max="4" width="14.7109375" customWidth="1"/>
    <col min="5" max="5" width="15" customWidth="1"/>
    <col min="6" max="7" width="10.140625" bestFit="1" customWidth="1"/>
    <col min="8" max="9" width="9.28515625" bestFit="1" customWidth="1"/>
    <col min="10" max="10" width="10.140625" bestFit="1" customWidth="1"/>
    <col min="11" max="11" width="18.28515625" customWidth="1"/>
    <col min="12" max="12" width="8.85546875" style="48"/>
  </cols>
  <sheetData>
    <row r="1" spans="1:12" s="21" customFormat="1" ht="43.15" customHeight="1" x14ac:dyDescent="0.7">
      <c r="A1" s="172" t="s">
        <v>69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48"/>
    </row>
    <row r="2" spans="1:12" ht="52.9" customHeight="1" x14ac:dyDescent="0.25">
      <c r="A2" s="7" t="s">
        <v>0</v>
      </c>
      <c r="B2" s="11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 t="s">
        <v>8</v>
      </c>
      <c r="J2" s="4" t="s">
        <v>9</v>
      </c>
      <c r="K2" s="6" t="s">
        <v>10</v>
      </c>
    </row>
    <row r="3" spans="1:12" ht="15.75" x14ac:dyDescent="0.25">
      <c r="A3" s="8" t="s">
        <v>11</v>
      </c>
      <c r="B3" s="77" t="s">
        <v>16</v>
      </c>
      <c r="C3" s="79">
        <v>592963720</v>
      </c>
      <c r="D3" s="75">
        <v>530948723</v>
      </c>
      <c r="E3" s="75">
        <v>530948723</v>
      </c>
      <c r="F3" s="80">
        <v>1.45</v>
      </c>
      <c r="G3" s="80">
        <v>1.47</v>
      </c>
      <c r="H3" s="80">
        <v>1.06</v>
      </c>
      <c r="I3" s="80">
        <v>0.41</v>
      </c>
      <c r="J3" s="80">
        <v>1.47</v>
      </c>
      <c r="K3" s="79">
        <v>7804946</v>
      </c>
    </row>
    <row r="4" spans="1:12" ht="15.75" x14ac:dyDescent="0.25">
      <c r="A4" s="8" t="s">
        <v>12</v>
      </c>
      <c r="B4" s="77" t="s">
        <v>17</v>
      </c>
      <c r="C4" s="79">
        <v>11042983517</v>
      </c>
      <c r="D4" s="75">
        <v>4729537280</v>
      </c>
      <c r="E4" s="75">
        <v>9940278618</v>
      </c>
      <c r="F4" s="76">
        <v>1.505768</v>
      </c>
      <c r="G4" s="76">
        <v>1.3298019999999999</v>
      </c>
      <c r="H4" s="40">
        <v>1.06</v>
      </c>
      <c r="I4" s="40">
        <v>0.26979999999999998</v>
      </c>
      <c r="J4" s="40">
        <v>1.3298000000000001</v>
      </c>
      <c r="K4" s="34">
        <v>132185825</v>
      </c>
    </row>
    <row r="5" spans="1:12" ht="15.75" x14ac:dyDescent="0.25">
      <c r="A5" s="8" t="s">
        <v>13</v>
      </c>
      <c r="B5" s="77" t="s">
        <v>18</v>
      </c>
      <c r="C5" s="79">
        <v>502415739</v>
      </c>
      <c r="D5" s="112">
        <v>323797097</v>
      </c>
      <c r="E5" s="112">
        <v>323797097</v>
      </c>
      <c r="F5" s="121">
        <v>1.2067870000000001</v>
      </c>
      <c r="G5" s="121">
        <v>1.29</v>
      </c>
      <c r="H5" s="121">
        <v>1.17</v>
      </c>
      <c r="I5" s="121">
        <v>0.12</v>
      </c>
      <c r="J5" s="121">
        <f>SUM(I5+H5)</f>
        <v>1.29</v>
      </c>
      <c r="K5" s="34">
        <v>4176983</v>
      </c>
    </row>
    <row r="6" spans="1:12" ht="15.75" x14ac:dyDescent="0.25">
      <c r="A6" s="8" t="s">
        <v>14</v>
      </c>
      <c r="B6" s="77" t="s">
        <v>19</v>
      </c>
      <c r="C6" s="79">
        <v>437962126</v>
      </c>
      <c r="D6" s="79">
        <v>3447637449</v>
      </c>
      <c r="E6" s="113">
        <v>3494989168</v>
      </c>
      <c r="F6" s="57">
        <v>1.6856</v>
      </c>
      <c r="G6" s="57">
        <v>1.4318900000000001</v>
      </c>
      <c r="H6" s="57">
        <v>1.17</v>
      </c>
      <c r="I6" s="57">
        <v>0.26189000000000001</v>
      </c>
      <c r="J6" s="57">
        <f>SUM(H6+I6)</f>
        <v>1.4318899999999999</v>
      </c>
      <c r="K6" s="34">
        <v>50044400</v>
      </c>
    </row>
    <row r="7" spans="1:12" ht="15.75" x14ac:dyDescent="0.25">
      <c r="A7" s="8" t="s">
        <v>15</v>
      </c>
      <c r="B7" s="77" t="s">
        <v>20</v>
      </c>
      <c r="C7" s="114">
        <v>763870</v>
      </c>
      <c r="D7" s="112">
        <v>659130</v>
      </c>
      <c r="E7" s="112">
        <v>659130</v>
      </c>
      <c r="F7" s="56">
        <v>1.2392300000000001</v>
      </c>
      <c r="G7" s="56">
        <v>1.38</v>
      </c>
      <c r="H7" s="56">
        <v>1.17</v>
      </c>
      <c r="I7" s="56">
        <v>0.21</v>
      </c>
      <c r="J7" s="56">
        <v>1.38</v>
      </c>
      <c r="K7" s="34">
        <v>9096</v>
      </c>
    </row>
  </sheetData>
  <mergeCells count="1">
    <mergeCell ref="A1:K1"/>
  </mergeCells>
  <printOptions gridLines="1"/>
  <pageMargins left="0.25" right="0.25" top="0.75" bottom="0.75" header="0.3" footer="0.3"/>
  <pageSetup paperSize="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F8" sqref="F8"/>
    </sheetView>
  </sheetViews>
  <sheetFormatPr defaultRowHeight="15" x14ac:dyDescent="0.25"/>
  <cols>
    <col min="1" max="1" width="10.7109375" customWidth="1"/>
    <col min="2" max="2" width="19.7109375" bestFit="1" customWidth="1"/>
    <col min="3" max="4" width="13.85546875" bestFit="1" customWidth="1"/>
    <col min="5" max="6" width="17.7109375" bestFit="1" customWidth="1"/>
    <col min="7" max="7" width="14.7109375" bestFit="1" customWidth="1"/>
    <col min="8" max="8" width="13.140625" bestFit="1" customWidth="1"/>
    <col min="9" max="9" width="14.28515625" bestFit="1" customWidth="1"/>
    <col min="10" max="10" width="16.5703125" bestFit="1" customWidth="1"/>
  </cols>
  <sheetData>
    <row r="1" spans="1:10" s="21" customFormat="1" ht="42.6" customHeight="1" x14ac:dyDescent="0.55000000000000004">
      <c r="A1" s="173" t="s">
        <v>70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30.6" customHeight="1" x14ac:dyDescent="0.25">
      <c r="A2" s="14" t="s">
        <v>27</v>
      </c>
      <c r="B2" s="14" t="s">
        <v>28</v>
      </c>
      <c r="C2" s="14" t="s">
        <v>2</v>
      </c>
      <c r="D2" s="14" t="s">
        <v>29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30</v>
      </c>
    </row>
    <row r="3" spans="1:10" ht="15.75" x14ac:dyDescent="0.25">
      <c r="A3" s="13" t="s">
        <v>21</v>
      </c>
      <c r="B3" s="12" t="s">
        <v>22</v>
      </c>
      <c r="C3" s="114">
        <v>86734552.870000005</v>
      </c>
      <c r="D3" s="78">
        <v>74412310</v>
      </c>
      <c r="E3" s="123">
        <v>0.64227100000000004</v>
      </c>
      <c r="F3" s="123">
        <v>0.92467500000000002</v>
      </c>
      <c r="G3" s="123">
        <v>8.7440000000000004E-2</v>
      </c>
      <c r="H3" s="123">
        <v>0.62279399999999996</v>
      </c>
      <c r="I3" s="123">
        <v>0.71023400000000003</v>
      </c>
      <c r="J3" s="119">
        <v>528501.5</v>
      </c>
    </row>
    <row r="4" spans="1:10" ht="15.75" x14ac:dyDescent="0.25">
      <c r="A4" s="13" t="s">
        <v>23</v>
      </c>
      <c r="B4" s="12" t="s">
        <v>24</v>
      </c>
      <c r="C4" s="79">
        <v>7451269936</v>
      </c>
      <c r="D4" s="78">
        <v>3735206873</v>
      </c>
      <c r="E4" s="76">
        <v>0.43426399999999998</v>
      </c>
      <c r="F4" s="76">
        <v>0.43059700000000001</v>
      </c>
      <c r="G4" s="115">
        <v>0.19892899999999999</v>
      </c>
      <c r="H4" s="115">
        <v>0.23773</v>
      </c>
      <c r="I4" s="115">
        <f>SUM(H4+G4)</f>
        <v>0.43665900000000002</v>
      </c>
      <c r="J4" s="119">
        <v>16310117</v>
      </c>
    </row>
    <row r="5" spans="1:10" ht="15.75" x14ac:dyDescent="0.25">
      <c r="A5" s="13" t="s">
        <v>25</v>
      </c>
      <c r="B5" s="12" t="s">
        <v>26</v>
      </c>
      <c r="C5" s="78">
        <v>240004233</v>
      </c>
      <c r="D5" s="78">
        <v>184510973</v>
      </c>
      <c r="E5" s="122">
        <v>0.83525300000000002</v>
      </c>
      <c r="F5" s="122">
        <v>0.81921500000000003</v>
      </c>
      <c r="G5" s="122">
        <v>0.45764300000000002</v>
      </c>
      <c r="H5" s="122">
        <v>0.35438700000000001</v>
      </c>
      <c r="I5" s="122">
        <v>0.81203000000000003</v>
      </c>
      <c r="J5" s="119">
        <v>1498284</v>
      </c>
    </row>
  </sheetData>
  <mergeCells count="1">
    <mergeCell ref="A1:J1"/>
  </mergeCells>
  <printOptions gridLines="1"/>
  <pageMargins left="0.7" right="0.7" top="0.75" bottom="0.75" header="0.3" footer="0.3"/>
  <pageSetup paperSize="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B1" workbookViewId="0">
      <selection activeCell="G17" sqref="G17"/>
    </sheetView>
  </sheetViews>
  <sheetFormatPr defaultRowHeight="15" x14ac:dyDescent="0.25"/>
  <cols>
    <col min="4" max="4" width="41.85546875" bestFit="1" customWidth="1"/>
    <col min="5" max="6" width="13.85546875" bestFit="1" customWidth="1"/>
    <col min="7" max="10" width="9.28515625" bestFit="1" customWidth="1"/>
    <col min="11" max="11" width="10.140625" bestFit="1" customWidth="1"/>
    <col min="12" max="12" width="11.85546875" customWidth="1"/>
  </cols>
  <sheetData>
    <row r="1" spans="1:12" s="21" customFormat="1" ht="51.6" customHeight="1" x14ac:dyDescent="0.7">
      <c r="A1" s="172" t="s">
        <v>71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52.9" customHeight="1" x14ac:dyDescent="0.25">
      <c r="A2" s="24" t="s">
        <v>64</v>
      </c>
      <c r="B2" s="23" t="s">
        <v>65</v>
      </c>
      <c r="C2" s="23" t="s">
        <v>66</v>
      </c>
      <c r="D2" s="23" t="s">
        <v>67</v>
      </c>
      <c r="E2" s="24" t="s">
        <v>2</v>
      </c>
      <c r="F2" s="24" t="s">
        <v>29</v>
      </c>
      <c r="G2" s="25" t="s">
        <v>5</v>
      </c>
      <c r="H2" s="25" t="s">
        <v>6</v>
      </c>
      <c r="I2" s="26" t="s">
        <v>7</v>
      </c>
      <c r="J2" s="26" t="s">
        <v>8</v>
      </c>
      <c r="K2" s="27" t="s">
        <v>9</v>
      </c>
      <c r="L2" s="28" t="s">
        <v>10</v>
      </c>
    </row>
    <row r="3" spans="1:12" ht="15.75" x14ac:dyDescent="0.25">
      <c r="A3" s="19" t="s">
        <v>44</v>
      </c>
      <c r="B3" s="20">
        <v>4</v>
      </c>
      <c r="C3" s="20"/>
      <c r="D3" s="19" t="s">
        <v>45</v>
      </c>
      <c r="E3" s="112">
        <v>173969957</v>
      </c>
      <c r="F3" s="75">
        <v>159060467</v>
      </c>
      <c r="G3" s="59">
        <v>0.81</v>
      </c>
      <c r="H3" s="59">
        <v>0.87968000000000002</v>
      </c>
      <c r="I3" s="59">
        <v>0.33</v>
      </c>
      <c r="J3" s="59">
        <v>0.48</v>
      </c>
      <c r="K3" s="59">
        <f>SUM(J3+I3)</f>
        <v>0.81</v>
      </c>
      <c r="L3" s="112">
        <v>1288390</v>
      </c>
    </row>
    <row r="4" spans="1:12" ht="15.75" x14ac:dyDescent="0.25">
      <c r="A4" s="19" t="s">
        <v>44</v>
      </c>
      <c r="B4" s="20">
        <v>9</v>
      </c>
      <c r="C4" s="20"/>
      <c r="D4" s="19" t="s">
        <v>46</v>
      </c>
      <c r="E4" s="117">
        <v>1250889294</v>
      </c>
      <c r="F4" s="117">
        <v>1063178023</v>
      </c>
      <c r="G4" s="40">
        <v>0</v>
      </c>
      <c r="H4" s="40">
        <v>0</v>
      </c>
      <c r="I4" s="56">
        <v>0.06</v>
      </c>
      <c r="J4" s="56">
        <v>0.6</v>
      </c>
      <c r="K4" s="56">
        <f>SUM(J4+I4)</f>
        <v>0.65999999999999992</v>
      </c>
      <c r="L4" s="116">
        <v>7016975</v>
      </c>
    </row>
    <row r="5" spans="1:12" ht="15.75" x14ac:dyDescent="0.25">
      <c r="A5" s="19" t="s">
        <v>44</v>
      </c>
      <c r="B5" s="20">
        <v>11</v>
      </c>
      <c r="C5" s="20"/>
      <c r="D5" s="19" t="s">
        <v>47</v>
      </c>
      <c r="E5" s="118">
        <v>852650533</v>
      </c>
      <c r="F5" s="118">
        <v>561442418</v>
      </c>
      <c r="G5" s="71">
        <v>0.52914899999999998</v>
      </c>
      <c r="H5" s="71">
        <v>0.57147999999999999</v>
      </c>
      <c r="I5" s="71">
        <v>0.51423399999999997</v>
      </c>
      <c r="J5" s="71">
        <v>0</v>
      </c>
      <c r="K5" s="71">
        <v>0.51423399999999997</v>
      </c>
      <c r="L5" s="116">
        <v>2887127.8</v>
      </c>
    </row>
    <row r="6" spans="1:12" ht="15.75" x14ac:dyDescent="0.25">
      <c r="A6" s="19" t="s">
        <v>44</v>
      </c>
      <c r="B6" s="20">
        <v>18</v>
      </c>
      <c r="C6" s="20" t="s">
        <v>48</v>
      </c>
      <c r="D6" s="19" t="s">
        <v>49</v>
      </c>
      <c r="E6" s="118">
        <v>2552729122</v>
      </c>
      <c r="F6" s="118">
        <v>1816941614</v>
      </c>
      <c r="G6" s="59">
        <v>0</v>
      </c>
      <c r="H6" s="40">
        <v>0</v>
      </c>
      <c r="I6" s="59">
        <v>1.3849999999999999E-2</v>
      </c>
      <c r="J6" s="59">
        <v>0</v>
      </c>
      <c r="K6" s="56">
        <f>SUM(I6+J6)</f>
        <v>1.3849999999999999E-2</v>
      </c>
      <c r="L6" s="116">
        <v>251646</v>
      </c>
    </row>
    <row r="7" spans="1:12" ht="15.75" x14ac:dyDescent="0.25">
      <c r="A7" s="19" t="s">
        <v>44</v>
      </c>
      <c r="B7" s="20">
        <v>23</v>
      </c>
      <c r="C7" s="20" t="s">
        <v>48</v>
      </c>
      <c r="D7" s="19" t="s">
        <v>50</v>
      </c>
      <c r="E7" s="75">
        <v>1223057949</v>
      </c>
      <c r="F7" s="75">
        <v>826506642</v>
      </c>
      <c r="G7" s="56">
        <v>0.40870000000000001</v>
      </c>
      <c r="H7" s="56">
        <v>0.42499999999999999</v>
      </c>
      <c r="I7" s="56">
        <v>0.40699999999999997</v>
      </c>
      <c r="J7" s="55">
        <v>0</v>
      </c>
      <c r="K7" s="56">
        <v>0.40699999999999997</v>
      </c>
      <c r="L7" s="119">
        <v>3363882</v>
      </c>
    </row>
    <row r="8" spans="1:12" ht="15.75" x14ac:dyDescent="0.25">
      <c r="A8" s="19" t="s">
        <v>44</v>
      </c>
      <c r="B8" s="20">
        <v>33</v>
      </c>
      <c r="C8" s="20"/>
      <c r="D8" s="19" t="s">
        <v>51</v>
      </c>
      <c r="E8" s="120">
        <v>0</v>
      </c>
      <c r="F8" s="120">
        <v>0</v>
      </c>
      <c r="G8" s="59">
        <v>4.3053000000000001E-2</v>
      </c>
      <c r="H8" s="59">
        <v>4.6496999999999997E-2</v>
      </c>
      <c r="I8" s="59">
        <v>4.3053000000000001E-2</v>
      </c>
      <c r="J8" s="59">
        <v>0</v>
      </c>
      <c r="K8" s="59">
        <v>4.3053000000000001E-2</v>
      </c>
      <c r="L8" s="116">
        <v>4078449.4</v>
      </c>
    </row>
    <row r="9" spans="1:12" ht="15.75" x14ac:dyDescent="0.25">
      <c r="A9" s="19" t="s">
        <v>44</v>
      </c>
      <c r="B9" s="20">
        <v>40</v>
      </c>
      <c r="C9" s="20"/>
      <c r="D9" s="19" t="s">
        <v>52</v>
      </c>
      <c r="E9" s="125">
        <v>0</v>
      </c>
      <c r="F9" s="125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</row>
    <row r="10" spans="1:12" ht="15.75" x14ac:dyDescent="0.25">
      <c r="A10" s="19" t="s">
        <v>53</v>
      </c>
      <c r="B10" s="20">
        <v>9</v>
      </c>
      <c r="C10" s="20"/>
      <c r="D10" s="19" t="s">
        <v>54</v>
      </c>
      <c r="E10" s="79">
        <v>302300183</v>
      </c>
      <c r="F10" s="75">
        <v>0</v>
      </c>
      <c r="G10" s="62">
        <v>0</v>
      </c>
      <c r="H10" s="40">
        <v>0</v>
      </c>
      <c r="I10" s="40">
        <v>0.24249999999999999</v>
      </c>
      <c r="J10" s="40">
        <v>0.40749999999999997</v>
      </c>
      <c r="K10" s="59">
        <f>SUM(J10+I10)</f>
        <v>0.64999999999999991</v>
      </c>
      <c r="L10" s="119">
        <v>1964951</v>
      </c>
    </row>
    <row r="11" spans="1:12" ht="15.75" x14ac:dyDescent="0.25">
      <c r="A11" s="19" t="s">
        <v>53</v>
      </c>
      <c r="B11" s="20">
        <v>18</v>
      </c>
      <c r="C11" s="20"/>
      <c r="D11" s="19" t="s">
        <v>55</v>
      </c>
      <c r="E11" s="79">
        <v>2435424356</v>
      </c>
      <c r="F11" s="79">
        <v>2282577812</v>
      </c>
      <c r="G11" s="40">
        <v>2.4E-2</v>
      </c>
      <c r="H11" s="59">
        <v>0</v>
      </c>
      <c r="I11" s="40">
        <v>2.4E-2</v>
      </c>
      <c r="J11" s="40">
        <v>0</v>
      </c>
      <c r="K11" s="40">
        <v>2.4E-2</v>
      </c>
      <c r="L11" s="61">
        <v>547818.6</v>
      </c>
    </row>
    <row r="12" spans="1:12" ht="15.75" x14ac:dyDescent="0.25">
      <c r="A12" s="19" t="s">
        <v>56</v>
      </c>
      <c r="B12" s="20">
        <v>9</v>
      </c>
      <c r="C12" s="20"/>
      <c r="D12" s="19" t="s">
        <v>57</v>
      </c>
      <c r="E12" s="79">
        <v>41004932</v>
      </c>
      <c r="F12" s="126">
        <v>0</v>
      </c>
      <c r="G12" s="40">
        <v>1.01</v>
      </c>
      <c r="H12" s="40">
        <v>1.01</v>
      </c>
      <c r="I12" s="40">
        <v>1</v>
      </c>
      <c r="J12" s="40">
        <v>0</v>
      </c>
      <c r="K12" s="40">
        <v>1</v>
      </c>
      <c r="L12" s="61">
        <v>410049</v>
      </c>
    </row>
    <row r="13" spans="1:12" ht="15.75" x14ac:dyDescent="0.25">
      <c r="A13" s="19" t="s">
        <v>58</v>
      </c>
      <c r="B13" s="20">
        <v>15</v>
      </c>
      <c r="C13" s="20" t="s">
        <v>48</v>
      </c>
      <c r="D13" s="19" t="s">
        <v>59</v>
      </c>
      <c r="E13" s="75">
        <v>3766468046</v>
      </c>
      <c r="F13" s="112">
        <v>3505060768</v>
      </c>
      <c r="G13" s="55">
        <v>0.25009999999999999</v>
      </c>
      <c r="H13" s="55">
        <v>0.26379999999999998</v>
      </c>
      <c r="I13" s="55">
        <v>0.22409999999999999</v>
      </c>
      <c r="J13" s="55">
        <v>2.5999999999999999E-2</v>
      </c>
      <c r="K13" s="55">
        <f>SUM(J13+I13)</f>
        <v>0.25009999999999999</v>
      </c>
      <c r="L13" s="61">
        <v>8766157</v>
      </c>
    </row>
    <row r="14" spans="1:12" ht="15.75" x14ac:dyDescent="0.25">
      <c r="A14" s="19" t="s">
        <v>60</v>
      </c>
      <c r="B14" s="20">
        <v>15</v>
      </c>
      <c r="C14" s="20" t="s">
        <v>48</v>
      </c>
      <c r="D14" s="19" t="s">
        <v>61</v>
      </c>
      <c r="E14" s="112">
        <v>763870</v>
      </c>
      <c r="F14" s="114">
        <v>659130</v>
      </c>
      <c r="G14" s="40">
        <v>0.17932899999999999</v>
      </c>
      <c r="H14" s="40">
        <v>0.18821299999999999</v>
      </c>
      <c r="I14" s="40">
        <v>0.12720999999999999</v>
      </c>
      <c r="J14" s="40">
        <v>5.2118999999999999E-2</v>
      </c>
      <c r="K14" s="40">
        <f>SUM(J14+I14)</f>
        <v>0.17932899999999999</v>
      </c>
      <c r="L14" s="119">
        <v>1182</v>
      </c>
    </row>
    <row r="15" spans="1:12" ht="15.75" x14ac:dyDescent="0.25">
      <c r="A15" s="19" t="s">
        <v>62</v>
      </c>
      <c r="B15" s="20">
        <v>8</v>
      </c>
      <c r="C15" s="20" t="s">
        <v>48</v>
      </c>
      <c r="D15" s="19" t="s">
        <v>63</v>
      </c>
      <c r="E15" s="114">
        <v>1355460</v>
      </c>
      <c r="F15" s="114">
        <v>237010</v>
      </c>
      <c r="G15" s="54">
        <v>0</v>
      </c>
      <c r="H15" s="35">
        <v>0.239264</v>
      </c>
      <c r="I15" s="35">
        <v>0.22058700000000001</v>
      </c>
      <c r="J15" s="35">
        <v>0</v>
      </c>
      <c r="K15" s="35">
        <f>SUM(J15+I15)</f>
        <v>0.22058700000000001</v>
      </c>
      <c r="L15" s="119">
        <v>523</v>
      </c>
    </row>
  </sheetData>
  <mergeCells count="1">
    <mergeCell ref="A1:L1"/>
  </mergeCells>
  <printOptions gridLines="1"/>
  <pageMargins left="0.7" right="0.7" top="0.75" bottom="0.75" header="0.3" footer="0.3"/>
  <pageSetup paperSize="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"/>
  <sheetViews>
    <sheetView tabSelected="1" topLeftCell="A106" zoomScaleNormal="100" workbookViewId="0">
      <selection activeCell="C11" sqref="C11"/>
    </sheetView>
  </sheetViews>
  <sheetFormatPr defaultRowHeight="15" x14ac:dyDescent="0.25"/>
  <cols>
    <col min="1" max="1" width="15.5703125" style="48" customWidth="1"/>
    <col min="2" max="2" width="43.5703125" customWidth="1"/>
    <col min="3" max="3" width="18.140625" style="48" customWidth="1"/>
    <col min="4" max="4" width="19.42578125" customWidth="1"/>
    <col min="5" max="5" width="18.7109375" customWidth="1"/>
    <col min="6" max="6" width="25.85546875" bestFit="1" customWidth="1"/>
    <col min="7" max="7" width="15.85546875" customWidth="1"/>
    <col min="8" max="8" width="15.28515625" customWidth="1"/>
    <col min="9" max="9" width="11.7109375" customWidth="1"/>
    <col min="10" max="10" width="22.28515625" bestFit="1" customWidth="1"/>
    <col min="11" max="11" width="14.7109375" customWidth="1"/>
    <col min="12" max="12" width="19.28515625" bestFit="1" customWidth="1"/>
    <col min="13" max="13" width="10.7109375" customWidth="1"/>
    <col min="14" max="14" width="10.28515625" customWidth="1"/>
    <col min="15" max="15" width="12.140625" customWidth="1"/>
    <col min="16" max="16" width="11.7109375" customWidth="1"/>
    <col min="17" max="17" width="10.42578125" bestFit="1" customWidth="1"/>
    <col min="18" max="18" width="19.28515625" style="48" bestFit="1" customWidth="1"/>
  </cols>
  <sheetData>
    <row r="1" spans="1:18" ht="49.15" customHeight="1" x14ac:dyDescent="0.25">
      <c r="A1" s="15" t="s">
        <v>72</v>
      </c>
      <c r="B1" s="15" t="s">
        <v>31</v>
      </c>
      <c r="C1" s="2" t="s">
        <v>2</v>
      </c>
      <c r="D1" s="2" t="s">
        <v>32</v>
      </c>
      <c r="E1" s="2" t="s">
        <v>33</v>
      </c>
      <c r="F1" s="2" t="s">
        <v>85</v>
      </c>
      <c r="G1" s="2" t="s">
        <v>84</v>
      </c>
      <c r="H1" s="2" t="s">
        <v>34</v>
      </c>
      <c r="I1" s="2" t="s">
        <v>35</v>
      </c>
      <c r="J1" s="29" t="s">
        <v>36</v>
      </c>
      <c r="K1" s="29" t="s">
        <v>37</v>
      </c>
      <c r="L1" s="29" t="s">
        <v>38</v>
      </c>
      <c r="M1" s="29" t="s">
        <v>39</v>
      </c>
      <c r="N1" s="29" t="s">
        <v>40</v>
      </c>
      <c r="O1" s="29" t="s">
        <v>41</v>
      </c>
      <c r="P1" s="29" t="s">
        <v>42</v>
      </c>
      <c r="Q1" s="29" t="s">
        <v>9</v>
      </c>
      <c r="R1" s="30" t="s">
        <v>43</v>
      </c>
    </row>
    <row r="2" spans="1:18" ht="15.75" x14ac:dyDescent="0.25">
      <c r="B2" s="177" t="s">
        <v>68</v>
      </c>
      <c r="C2" s="132"/>
      <c r="D2" s="82"/>
      <c r="E2" s="82"/>
      <c r="F2" s="8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4"/>
    </row>
    <row r="3" spans="1:18" ht="15.75" x14ac:dyDescent="0.25">
      <c r="A3" s="50">
        <v>2021</v>
      </c>
      <c r="B3" s="176"/>
      <c r="C3" s="83">
        <v>21101937668</v>
      </c>
      <c r="D3" s="83">
        <v>11009254739</v>
      </c>
      <c r="E3" s="83">
        <v>11033475369</v>
      </c>
      <c r="F3" s="84">
        <v>0.60586600000000002</v>
      </c>
      <c r="G3" s="84">
        <v>0.62330700000000006</v>
      </c>
      <c r="H3" s="84">
        <v>8.0274999999999999E-2</v>
      </c>
      <c r="I3" s="84">
        <v>0</v>
      </c>
      <c r="J3" s="84">
        <f>SUM(Table4[[#This Row],[Farm-to-Market &amp; Flood Control M&amp;O Tax Rate]])</f>
        <v>8.0274999999999999E-2</v>
      </c>
      <c r="K3" s="84">
        <v>0.34281800000000001</v>
      </c>
      <c r="L3" s="84">
        <v>8.3764000000000005E-2</v>
      </c>
      <c r="M3" s="84">
        <v>0.43944800000000001</v>
      </c>
      <c r="N3" s="84">
        <v>6.339E-3</v>
      </c>
      <c r="O3" s="84">
        <v>0</v>
      </c>
      <c r="P3" s="84">
        <f>SUM(Table4[[#This Row],[Road &amp; Bridge M&amp;O Tax Rate]])</f>
        <v>6.339E-3</v>
      </c>
      <c r="Q3" s="84">
        <v>0.53949000000000003</v>
      </c>
      <c r="R3" s="128">
        <v>59524496</v>
      </c>
    </row>
    <row r="4" spans="1:18" s="21" customFormat="1" ht="15.75" x14ac:dyDescent="0.25">
      <c r="A4" s="50">
        <v>2020</v>
      </c>
      <c r="B4" s="179"/>
      <c r="C4" s="83">
        <v>20915216707</v>
      </c>
      <c r="D4" s="83">
        <v>11568574640</v>
      </c>
      <c r="E4" s="83">
        <v>11591900610</v>
      </c>
      <c r="F4" s="84">
        <v>0.53949000000000003</v>
      </c>
      <c r="G4" s="84">
        <v>0.578905</v>
      </c>
      <c r="H4" s="84">
        <v>8.0274999999999999E-2</v>
      </c>
      <c r="I4" s="84">
        <v>0</v>
      </c>
      <c r="J4" s="84">
        <f>SUM(Table4[[#This Row],[Farm-to-Market &amp; Flood Control M&amp;O Tax Rate]])</f>
        <v>8.0274999999999999E-2</v>
      </c>
      <c r="K4" s="84">
        <v>0.35225899999999999</v>
      </c>
      <c r="L4" s="84">
        <v>5.8323E-2</v>
      </c>
      <c r="M4" s="84">
        <v>0.43944800000000001</v>
      </c>
      <c r="N4" s="84">
        <v>6.339E-3</v>
      </c>
      <c r="O4" s="84">
        <v>0</v>
      </c>
      <c r="P4" s="84">
        <v>6.339E-3</v>
      </c>
      <c r="Q4" s="84">
        <v>0.53949000000000003</v>
      </c>
      <c r="R4" s="128">
        <v>62411303</v>
      </c>
    </row>
    <row r="5" spans="1:18" ht="15.75" x14ac:dyDescent="0.25">
      <c r="A5" s="50">
        <v>2019</v>
      </c>
      <c r="B5" s="103"/>
      <c r="C5" s="83">
        <v>18387485589</v>
      </c>
      <c r="D5" s="83">
        <v>10466239563</v>
      </c>
      <c r="E5" s="83">
        <v>10488664093</v>
      </c>
      <c r="F5" s="84">
        <v>0.50416000000000005</v>
      </c>
      <c r="G5" s="84">
        <v>0.54205800000000004</v>
      </c>
      <c r="H5" s="84">
        <v>8.2513000000000003E-2</v>
      </c>
      <c r="I5" s="84">
        <v>0</v>
      </c>
      <c r="J5" s="84">
        <v>8.2513000000000003E-2</v>
      </c>
      <c r="K5" s="84">
        <v>0.362149</v>
      </c>
      <c r="L5" s="84">
        <v>4.7371999999999997E-2</v>
      </c>
      <c r="M5" s="84">
        <v>0.40952100000000002</v>
      </c>
      <c r="N5" s="84">
        <v>6.5500000000000003E-3</v>
      </c>
      <c r="O5" s="84">
        <v>0</v>
      </c>
      <c r="P5" s="84">
        <v>6.5500000000000003E-3</v>
      </c>
      <c r="Q5" s="84">
        <v>0.54205800000000004</v>
      </c>
      <c r="R5" s="128">
        <v>56854643</v>
      </c>
    </row>
    <row r="6" spans="1:18" ht="15.75" x14ac:dyDescent="0.25">
      <c r="A6" s="50">
        <v>2018</v>
      </c>
      <c r="B6" s="49"/>
      <c r="C6" s="83">
        <v>16438196870</v>
      </c>
      <c r="D6" s="83">
        <v>9451254847</v>
      </c>
      <c r="E6" s="83">
        <v>9473090127</v>
      </c>
      <c r="F6" s="84">
        <v>0.52374200000000004</v>
      </c>
      <c r="G6" s="127">
        <v>0.56142999999999998</v>
      </c>
      <c r="H6" s="127">
        <v>8.1715999999999997E-2</v>
      </c>
      <c r="I6" s="127">
        <v>0</v>
      </c>
      <c r="J6" s="127">
        <v>8.1715999999999997E-2</v>
      </c>
      <c r="K6" s="127">
        <v>0.35866300000000001</v>
      </c>
      <c r="L6" s="127">
        <v>5.2616000000000003E-2</v>
      </c>
      <c r="M6" s="127">
        <f>SUM(K6+L6)</f>
        <v>0.41127900000000001</v>
      </c>
      <c r="N6" s="127">
        <v>6.4999999999999997E-3</v>
      </c>
      <c r="O6" s="127">
        <v>0</v>
      </c>
      <c r="P6" s="127">
        <v>6.4999999999999997E-3</v>
      </c>
      <c r="Q6" s="127">
        <v>0.54254800000000003</v>
      </c>
      <c r="R6" s="128">
        <v>51277594</v>
      </c>
    </row>
    <row r="7" spans="1:18" ht="15.75" x14ac:dyDescent="0.25">
      <c r="A7" s="17">
        <v>2017</v>
      </c>
      <c r="B7" s="17"/>
      <c r="C7" s="83">
        <v>14712958320</v>
      </c>
      <c r="D7" s="83">
        <v>8757754422</v>
      </c>
      <c r="E7" s="83">
        <v>8778935632</v>
      </c>
      <c r="F7" s="76">
        <v>0.51943099999999998</v>
      </c>
      <c r="G7" s="127">
        <v>0.55653540000000001</v>
      </c>
      <c r="H7" s="127">
        <v>8.1715999999999997E-2</v>
      </c>
      <c r="I7" s="127">
        <v>0</v>
      </c>
      <c r="J7" s="127">
        <v>8.1715999999999997E-2</v>
      </c>
      <c r="K7" s="127">
        <v>0.35536200000000001</v>
      </c>
      <c r="L7" s="127">
        <v>5.5626000000000002E-2</v>
      </c>
      <c r="M7" s="127">
        <f>SUM(K7+L7)</f>
        <v>0.41098800000000002</v>
      </c>
      <c r="N7" s="127">
        <v>6.7910000000000002E-3</v>
      </c>
      <c r="O7" s="127">
        <v>0</v>
      </c>
      <c r="P7" s="127">
        <v>6.7910000000000002E-3</v>
      </c>
      <c r="Q7" s="127">
        <v>0.54254800000000003</v>
      </c>
      <c r="R7" s="128">
        <v>47629939.692699999</v>
      </c>
    </row>
    <row r="8" spans="1:18" s="21" customFormat="1" ht="20.45" customHeight="1" x14ac:dyDescent="0.25">
      <c r="A8" s="18" t="s">
        <v>27</v>
      </c>
      <c r="B8" s="18" t="s">
        <v>28</v>
      </c>
      <c r="C8" s="18" t="s">
        <v>2</v>
      </c>
      <c r="D8" s="18" t="s">
        <v>29</v>
      </c>
      <c r="E8" s="18" t="s">
        <v>85</v>
      </c>
      <c r="F8" s="18" t="s">
        <v>84</v>
      </c>
      <c r="G8" s="18" t="s">
        <v>7</v>
      </c>
      <c r="H8" s="18" t="s">
        <v>8</v>
      </c>
      <c r="I8" s="18" t="s">
        <v>9</v>
      </c>
      <c r="J8" s="18" t="s">
        <v>30</v>
      </c>
      <c r="K8"/>
      <c r="L8"/>
      <c r="M8"/>
      <c r="R8" s="48"/>
    </row>
    <row r="9" spans="1:18" s="21" customFormat="1" ht="15.75" x14ac:dyDescent="0.25">
      <c r="A9" s="18" t="s">
        <v>21</v>
      </c>
      <c r="B9" s="177" t="s">
        <v>22</v>
      </c>
      <c r="C9" s="96"/>
      <c r="D9" s="85"/>
      <c r="E9" s="74"/>
      <c r="F9" s="74"/>
      <c r="G9" s="18"/>
      <c r="H9" s="18"/>
      <c r="I9" s="18"/>
      <c r="J9" s="3"/>
      <c r="K9"/>
      <c r="L9"/>
      <c r="M9"/>
      <c r="R9" s="48"/>
    </row>
    <row r="10" spans="1:18" s="21" customFormat="1" ht="15.75" x14ac:dyDescent="0.25">
      <c r="A10" s="137">
        <v>2021</v>
      </c>
      <c r="B10" s="178"/>
      <c r="C10" s="142">
        <v>141440602</v>
      </c>
      <c r="D10" s="142">
        <v>90847458</v>
      </c>
      <c r="E10" s="139">
        <v>0.68798099999999995</v>
      </c>
      <c r="F10" s="139">
        <v>0.72333599999999998</v>
      </c>
      <c r="G10" s="139">
        <v>0.20691399999999999</v>
      </c>
      <c r="H10" s="139">
        <v>0.50331999999999999</v>
      </c>
      <c r="I10" s="139">
        <f>SUM(Table3[[#This Row],[I&amp;S Tax Rate]]+Table3[[#This Row],[M&amp;O Tax Rate]])</f>
        <v>0.71023400000000003</v>
      </c>
      <c r="J10" s="145">
        <v>645229.53</v>
      </c>
      <c r="R10" s="48"/>
    </row>
    <row r="11" spans="1:18" ht="15.75" x14ac:dyDescent="0.25">
      <c r="A11" s="137">
        <v>2020</v>
      </c>
      <c r="B11" s="178"/>
      <c r="C11" s="142">
        <v>138034649</v>
      </c>
      <c r="D11" s="142">
        <v>85001372</v>
      </c>
      <c r="E11" s="139">
        <v>0.66407499999999997</v>
      </c>
      <c r="F11" s="139">
        <v>0.71570100000000003</v>
      </c>
      <c r="G11" s="137">
        <v>0.21845400000000001</v>
      </c>
      <c r="H11" s="137">
        <v>0.49177999999999999</v>
      </c>
      <c r="I11" s="137">
        <f>SUM(Table3[[#This Row],[I&amp;S Tax Rate]]+Table3[[#This Row],[M&amp;O Tax Rate]])</f>
        <v>0.71023400000000003</v>
      </c>
      <c r="J11" s="145">
        <v>603709</v>
      </c>
      <c r="K11" s="21"/>
      <c r="L11" s="21"/>
      <c r="M11" s="21"/>
    </row>
    <row r="12" spans="1:18" s="21" customFormat="1" ht="15.75" x14ac:dyDescent="0.25">
      <c r="A12" s="137">
        <v>2019</v>
      </c>
      <c r="B12" s="178"/>
      <c r="C12" s="140">
        <v>90505091</v>
      </c>
      <c r="D12" s="142">
        <v>77152185</v>
      </c>
      <c r="E12" s="143">
        <v>1.28</v>
      </c>
      <c r="F12" s="143">
        <v>0.58343999999999996</v>
      </c>
      <c r="G12" s="144">
        <v>0.21845400000000001</v>
      </c>
      <c r="H12" s="144">
        <v>0.49177999999999999</v>
      </c>
      <c r="I12" s="144">
        <v>0.71023400000000003</v>
      </c>
      <c r="J12" s="145">
        <v>547961</v>
      </c>
      <c r="R12" s="48"/>
    </row>
    <row r="13" spans="1:18" s="21" customFormat="1" ht="15.75" x14ac:dyDescent="0.25">
      <c r="A13" s="137">
        <v>2018</v>
      </c>
      <c r="B13" s="178"/>
      <c r="C13" s="140">
        <v>86734552.870000005</v>
      </c>
      <c r="D13" s="142">
        <v>74412310</v>
      </c>
      <c r="E13" s="143">
        <v>0.64227100000000004</v>
      </c>
      <c r="F13" s="143">
        <v>0.92467500000000002</v>
      </c>
      <c r="G13" s="144">
        <v>8.7440000000000004E-2</v>
      </c>
      <c r="H13" s="144">
        <v>0.62279399999999996</v>
      </c>
      <c r="I13" s="144">
        <v>0.71023400000000003</v>
      </c>
      <c r="J13" s="145">
        <v>528501.5</v>
      </c>
      <c r="R13" s="48"/>
    </row>
    <row r="14" spans="1:18" s="21" customFormat="1" ht="15.75" x14ac:dyDescent="0.25">
      <c r="A14" s="137">
        <v>2017</v>
      </c>
      <c r="B14" s="178"/>
      <c r="C14" s="141">
        <v>117287477</v>
      </c>
      <c r="D14" s="142">
        <v>70562697</v>
      </c>
      <c r="E14" s="139">
        <v>0.62012599999999996</v>
      </c>
      <c r="F14" s="139">
        <v>0.71023400000000003</v>
      </c>
      <c r="G14" s="137">
        <v>0.30909799999999998</v>
      </c>
      <c r="H14" s="137">
        <v>0.40113599999999999</v>
      </c>
      <c r="I14" s="137">
        <v>0.71023400000000003</v>
      </c>
      <c r="J14" s="145">
        <v>501847.27</v>
      </c>
      <c r="R14" s="48"/>
    </row>
    <row r="15" spans="1:18" s="21" customFormat="1" ht="15.75" x14ac:dyDescent="0.25">
      <c r="A15" s="18" t="s">
        <v>23</v>
      </c>
      <c r="B15" s="177" t="s">
        <v>24</v>
      </c>
      <c r="C15" s="96"/>
      <c r="D15" s="85"/>
      <c r="E15" s="90"/>
      <c r="F15" s="90"/>
      <c r="G15" s="36"/>
      <c r="H15" s="36"/>
      <c r="I15" s="36"/>
      <c r="J15" s="45"/>
      <c r="K15"/>
      <c r="L15"/>
      <c r="M15"/>
      <c r="R15" s="48"/>
    </row>
    <row r="16" spans="1:18" s="21" customFormat="1" ht="15.75" x14ac:dyDescent="0.25">
      <c r="A16" s="137">
        <v>2021</v>
      </c>
      <c r="B16" s="178"/>
      <c r="C16" s="162">
        <v>7886239667</v>
      </c>
      <c r="D16" s="142">
        <v>4182243828</v>
      </c>
      <c r="E16" s="139">
        <v>0.45474500000000001</v>
      </c>
      <c r="F16" s="139">
        <v>0.48912</v>
      </c>
      <c r="G16" s="137">
        <v>0.231798</v>
      </c>
      <c r="H16" s="137">
        <v>0.22294700000000001</v>
      </c>
      <c r="I16" s="137">
        <f>SUM(Table3[[#This Row],[I&amp;S Tax Rate]]+Table3[[#This Row],[M&amp;O Tax Rate]])</f>
        <v>0.45474500000000001</v>
      </c>
      <c r="J16" s="145">
        <v>19018545</v>
      </c>
      <c r="R16" s="48"/>
    </row>
    <row r="17" spans="1:22" ht="15.75" x14ac:dyDescent="0.25">
      <c r="A17" s="137">
        <v>2020</v>
      </c>
      <c r="B17" s="178"/>
      <c r="C17" s="142">
        <v>8195016444</v>
      </c>
      <c r="D17" s="142">
        <v>4265549246</v>
      </c>
      <c r="E17" s="139">
        <v>0.42577399999999999</v>
      </c>
      <c r="F17" s="139">
        <v>0.455598</v>
      </c>
      <c r="G17" s="137">
        <v>0.21122099999999999</v>
      </c>
      <c r="H17" s="137">
        <v>0.225438</v>
      </c>
      <c r="I17" s="137">
        <f>SUM(Table3[[#This Row],[I&amp;S Tax Rate]]+Table3[[#This Row],[M&amp;O Tax Rate]])</f>
        <v>0.43665900000000002</v>
      </c>
      <c r="J17" s="145">
        <v>18625905</v>
      </c>
      <c r="K17" s="21"/>
      <c r="L17" s="21"/>
      <c r="M17" s="21"/>
    </row>
    <row r="18" spans="1:22" s="21" customFormat="1" ht="15.75" x14ac:dyDescent="0.25">
      <c r="A18" s="137">
        <v>2019</v>
      </c>
      <c r="B18" s="178"/>
      <c r="C18" s="146">
        <v>7537007766</v>
      </c>
      <c r="D18" s="142">
        <v>4073005965</v>
      </c>
      <c r="E18" s="147">
        <v>0.41491699999999998</v>
      </c>
      <c r="F18" s="147">
        <v>0.42749599999999999</v>
      </c>
      <c r="G18" s="148">
        <v>0.22272900000000001</v>
      </c>
      <c r="H18" s="148">
        <v>0.21393000000000001</v>
      </c>
      <c r="I18" s="137">
        <v>0.43665900000000002</v>
      </c>
      <c r="J18" s="145">
        <v>17785147</v>
      </c>
      <c r="R18" s="48"/>
    </row>
    <row r="19" spans="1:22" s="21" customFormat="1" ht="15.75" x14ac:dyDescent="0.25">
      <c r="A19" s="137">
        <v>2018</v>
      </c>
      <c r="B19" s="178"/>
      <c r="C19" s="146">
        <v>7451269936</v>
      </c>
      <c r="D19" s="142">
        <v>3735206873</v>
      </c>
      <c r="E19" s="147">
        <v>0.43426399999999998</v>
      </c>
      <c r="F19" s="147">
        <v>0.43059700000000001</v>
      </c>
      <c r="G19" s="148">
        <v>0.19892899999999999</v>
      </c>
      <c r="H19" s="148">
        <v>0.23773</v>
      </c>
      <c r="I19" s="137">
        <f>SUM(Table3[[#This Row],[M&amp;O Tax Rate]]+H19)</f>
        <v>0.43665900000000002</v>
      </c>
      <c r="J19" s="145">
        <v>16310117</v>
      </c>
      <c r="R19" s="48"/>
    </row>
    <row r="20" spans="1:22" s="21" customFormat="1" ht="15.75" x14ac:dyDescent="0.25">
      <c r="A20" s="137">
        <v>2017</v>
      </c>
      <c r="B20" s="178"/>
      <c r="C20" s="146">
        <v>6868408588</v>
      </c>
      <c r="D20" s="142">
        <v>3370607659</v>
      </c>
      <c r="E20" s="147">
        <v>0.43093599999999999</v>
      </c>
      <c r="F20" s="147">
        <v>0.50334140000000005</v>
      </c>
      <c r="G20" s="148">
        <v>0.17211899999999999</v>
      </c>
      <c r="H20" s="148">
        <v>0.26454</v>
      </c>
      <c r="I20" s="148">
        <v>0.43665900000000002</v>
      </c>
      <c r="J20" s="145">
        <v>14718061.699999999</v>
      </c>
      <c r="R20" s="48"/>
    </row>
    <row r="21" spans="1:22" ht="15.75" x14ac:dyDescent="0.25">
      <c r="A21" s="18" t="s">
        <v>25</v>
      </c>
      <c r="B21" s="177" t="s">
        <v>26</v>
      </c>
      <c r="C21" s="134"/>
      <c r="D21" s="86"/>
      <c r="E21" s="74"/>
      <c r="F21" s="74"/>
      <c r="G21" s="18"/>
      <c r="H21" s="18"/>
      <c r="I21" s="18"/>
      <c r="J21" s="45"/>
      <c r="K21" s="21"/>
    </row>
    <row r="22" spans="1:22" s="21" customFormat="1" ht="15.75" x14ac:dyDescent="0.25">
      <c r="A22" s="137">
        <v>2021</v>
      </c>
      <c r="B22" s="178"/>
      <c r="C22" s="142">
        <v>385180433</v>
      </c>
      <c r="D22" s="142">
        <v>288770949</v>
      </c>
      <c r="E22" s="147">
        <v>0.82557000000000003</v>
      </c>
      <c r="F22" s="147">
        <v>0.81760999999999995</v>
      </c>
      <c r="G22" s="148">
        <v>0.48931000000000002</v>
      </c>
      <c r="H22" s="148">
        <v>0.29569000000000001</v>
      </c>
      <c r="I22" s="153">
        <f>SUM(Table3[[#This Row],[I&amp;S Tax Rate]]+Table3[[#This Row],[M&amp;O Tax Rate]])</f>
        <v>0.78500000000000003</v>
      </c>
      <c r="J22" s="155">
        <v>2266852</v>
      </c>
      <c r="K22" s="142"/>
      <c r="R22" s="48"/>
    </row>
    <row r="23" spans="1:22" ht="15.75" x14ac:dyDescent="0.25">
      <c r="A23" s="137">
        <v>2020</v>
      </c>
      <c r="B23" s="178"/>
      <c r="C23" s="142">
        <f>SUM(319477727+20079523)</f>
        <v>339557250</v>
      </c>
      <c r="D23" s="142">
        <v>237105522</v>
      </c>
      <c r="E23" s="151">
        <v>0.84880999999999995</v>
      </c>
      <c r="F23" s="151">
        <v>8.2076999999999997E-2</v>
      </c>
      <c r="G23" s="153">
        <v>0.48399999999999999</v>
      </c>
      <c r="H23" s="153">
        <v>0.31114999999999998</v>
      </c>
      <c r="I23" s="153">
        <f>SUM(Table3[[#This Row],[I&amp;S Tax Rate]]+Table3[[#This Row],[M&amp;O Tax Rate]])</f>
        <v>0.79515000000000002</v>
      </c>
      <c r="J23" s="155">
        <v>1885345</v>
      </c>
      <c r="K23" s="21"/>
      <c r="L23" s="21"/>
      <c r="M23" s="21"/>
    </row>
    <row r="24" spans="1:22" s="21" customFormat="1" ht="15.75" x14ac:dyDescent="0.25">
      <c r="A24" s="137">
        <v>2019</v>
      </c>
      <c r="B24" s="178"/>
      <c r="C24" s="142">
        <v>288885282</v>
      </c>
      <c r="D24" s="142">
        <v>208936272</v>
      </c>
      <c r="E24" s="139">
        <v>0.76139000000000001</v>
      </c>
      <c r="F24" s="139">
        <v>0.80447000000000002</v>
      </c>
      <c r="G24" s="137">
        <v>0.46093000000000001</v>
      </c>
      <c r="H24" s="154">
        <v>0.34110000000000001</v>
      </c>
      <c r="I24" s="137">
        <v>0.80203000000000002</v>
      </c>
      <c r="J24" s="145">
        <v>1675732</v>
      </c>
      <c r="R24" s="48"/>
    </row>
    <row r="25" spans="1:22" ht="15.75" x14ac:dyDescent="0.25">
      <c r="A25" s="137">
        <v>2018</v>
      </c>
      <c r="B25" s="138"/>
      <c r="C25" s="142">
        <v>240004233</v>
      </c>
      <c r="D25" s="142">
        <v>184510973</v>
      </c>
      <c r="E25" s="150">
        <v>0.83525300000000002</v>
      </c>
      <c r="F25" s="150">
        <v>0.81921500000000003</v>
      </c>
      <c r="G25" s="152">
        <v>0.45764300000000002</v>
      </c>
      <c r="H25" s="152">
        <v>0.35438700000000001</v>
      </c>
      <c r="I25" s="152">
        <v>0.81203000000000003</v>
      </c>
      <c r="J25" s="145">
        <v>1498284</v>
      </c>
      <c r="K25" s="21"/>
      <c r="L25" s="21"/>
      <c r="M25" s="21"/>
    </row>
    <row r="26" spans="1:22" ht="15.75" x14ac:dyDescent="0.25">
      <c r="A26" s="137">
        <v>2017</v>
      </c>
      <c r="B26" s="138"/>
      <c r="C26" s="149">
        <v>267070568</v>
      </c>
      <c r="D26" s="142">
        <v>199056318</v>
      </c>
      <c r="E26" s="151">
        <v>0.85372999999999999</v>
      </c>
      <c r="F26" s="151">
        <v>0.85441</v>
      </c>
      <c r="G26" s="153">
        <v>0.45543</v>
      </c>
      <c r="H26" s="153">
        <v>0.36659999999999998</v>
      </c>
      <c r="I26" s="153">
        <v>0.82203000000000004</v>
      </c>
      <c r="J26" s="145">
        <v>1636302.65</v>
      </c>
    </row>
    <row r="27" spans="1:22" ht="31.5" x14ac:dyDescent="0.25">
      <c r="A27" s="11" t="s">
        <v>0</v>
      </c>
      <c r="B27" s="135" t="s">
        <v>1</v>
      </c>
      <c r="C27" s="136" t="s">
        <v>2</v>
      </c>
      <c r="D27" s="136" t="s">
        <v>3</v>
      </c>
      <c r="E27" s="9" t="s">
        <v>4</v>
      </c>
      <c r="F27" s="9" t="s">
        <v>85</v>
      </c>
      <c r="G27" s="9" t="s">
        <v>84</v>
      </c>
      <c r="H27" s="10" t="s">
        <v>7</v>
      </c>
      <c r="I27" s="10" t="s">
        <v>8</v>
      </c>
      <c r="J27" s="9" t="s">
        <v>9</v>
      </c>
      <c r="K27" s="32" t="s">
        <v>10</v>
      </c>
      <c r="L27" s="106" t="s">
        <v>73</v>
      </c>
      <c r="M27" s="106" t="s">
        <v>74</v>
      </c>
      <c r="N27" s="106" t="s">
        <v>75</v>
      </c>
      <c r="O27" s="106" t="s">
        <v>76</v>
      </c>
      <c r="P27" s="106" t="s">
        <v>77</v>
      </c>
      <c r="Q27" s="106" t="s">
        <v>78</v>
      </c>
      <c r="R27" s="106" t="s">
        <v>79</v>
      </c>
      <c r="S27" s="106" t="s">
        <v>80</v>
      </c>
      <c r="T27" s="106" t="s">
        <v>81</v>
      </c>
      <c r="U27" s="106" t="s">
        <v>82</v>
      </c>
      <c r="V27" s="106" t="s">
        <v>83</v>
      </c>
    </row>
    <row r="28" spans="1:22" ht="15.75" x14ac:dyDescent="0.25">
      <c r="A28" s="18" t="s">
        <v>11</v>
      </c>
      <c r="B28" s="175" t="s">
        <v>16</v>
      </c>
      <c r="C28" s="132"/>
      <c r="D28" s="133"/>
      <c r="E28" s="93"/>
      <c r="F28" s="93"/>
    </row>
    <row r="29" spans="1:22" s="21" customFormat="1" ht="15.75" x14ac:dyDescent="0.25">
      <c r="A29" s="18">
        <v>2021</v>
      </c>
      <c r="B29" s="176"/>
      <c r="C29" s="73">
        <v>816501221</v>
      </c>
      <c r="D29" s="73">
        <v>582565762</v>
      </c>
      <c r="E29" s="73">
        <v>582565762</v>
      </c>
      <c r="F29" s="110">
        <v>1.351</v>
      </c>
      <c r="G29" s="110">
        <v>1.3834</v>
      </c>
      <c r="H29" s="110">
        <v>0.97340000000000004</v>
      </c>
      <c r="I29" s="110">
        <v>0.41</v>
      </c>
      <c r="J29" s="110">
        <f>SUM(Table6[[#This Row],[I&amp;S Tax Rate]]+Table6[[#This Row],[M&amp;O Tax Rate]])</f>
        <v>1.3834</v>
      </c>
      <c r="K29" s="73">
        <v>8059215</v>
      </c>
      <c r="R29" s="48"/>
    </row>
    <row r="30" spans="1:22" s="21" customFormat="1" ht="15.75" x14ac:dyDescent="0.25">
      <c r="A30" s="18">
        <v>2020</v>
      </c>
      <c r="B30" s="176"/>
      <c r="C30" s="73">
        <v>802505733</v>
      </c>
      <c r="D30" s="73">
        <v>571441185</v>
      </c>
      <c r="E30" s="73">
        <v>571441185</v>
      </c>
      <c r="F30" s="110">
        <v>1.4001589999999999</v>
      </c>
      <c r="G30" s="110">
        <v>1.3864000000000001</v>
      </c>
      <c r="H30" s="110">
        <v>0.97640000000000005</v>
      </c>
      <c r="I30" s="110">
        <v>0.41</v>
      </c>
      <c r="J30" s="110">
        <f>SUM(Table6[[#This Row],[I&amp;S Tax Rate]]+Table6[[#This Row],[M&amp;O Tax Rate]])</f>
        <v>1.3864000000000001</v>
      </c>
      <c r="K30" s="73">
        <v>7922461</v>
      </c>
      <c r="R30" s="48"/>
    </row>
    <row r="31" spans="1:22" s="21" customFormat="1" ht="15.75" x14ac:dyDescent="0.25">
      <c r="A31" s="18">
        <v>2019</v>
      </c>
      <c r="B31" s="176"/>
      <c r="C31" s="91">
        <v>789429398</v>
      </c>
      <c r="D31" s="73">
        <v>579909403</v>
      </c>
      <c r="E31" s="73">
        <v>579909403</v>
      </c>
      <c r="F31" s="110">
        <v>1.28</v>
      </c>
      <c r="G31" s="110">
        <v>1.4</v>
      </c>
      <c r="H31" s="110">
        <v>0.99</v>
      </c>
      <c r="I31" s="110">
        <v>0.41</v>
      </c>
      <c r="J31" s="110">
        <f>SUM(Table6[[#This Row],[M&amp;O Tax Rate]:[I&amp;S Tax Rate]])</f>
        <v>1.4</v>
      </c>
      <c r="K31" s="111">
        <v>8118731.6399999997</v>
      </c>
      <c r="R31" s="48"/>
    </row>
    <row r="32" spans="1:22" s="21" customFormat="1" ht="15.75" x14ac:dyDescent="0.25">
      <c r="A32" s="18">
        <v>2018</v>
      </c>
      <c r="B32" s="176"/>
      <c r="C32" s="91">
        <v>774932553</v>
      </c>
      <c r="D32" s="73">
        <v>520928750</v>
      </c>
      <c r="E32" s="73">
        <v>820928750</v>
      </c>
      <c r="F32" s="110">
        <v>1.45</v>
      </c>
      <c r="G32" s="110">
        <v>1.47</v>
      </c>
      <c r="H32" s="110">
        <v>1.06</v>
      </c>
      <c r="I32" s="110">
        <v>0.41</v>
      </c>
      <c r="J32" s="110">
        <v>1.47</v>
      </c>
      <c r="K32" s="111">
        <v>7657653</v>
      </c>
      <c r="R32" s="48"/>
    </row>
    <row r="33" spans="1:18" s="21" customFormat="1" ht="15.75" x14ac:dyDescent="0.25">
      <c r="A33" s="18">
        <v>2017</v>
      </c>
      <c r="B33" s="175"/>
      <c r="C33" s="91">
        <v>828100039</v>
      </c>
      <c r="D33" s="73">
        <v>515908967</v>
      </c>
      <c r="E33" s="73">
        <v>515908967</v>
      </c>
      <c r="F33" s="90">
        <v>1.35</v>
      </c>
      <c r="G33" s="36">
        <v>1.48</v>
      </c>
      <c r="H33" s="36">
        <v>1.06</v>
      </c>
      <c r="I33" s="67">
        <v>0.41</v>
      </c>
      <c r="J33" s="36">
        <v>1.47</v>
      </c>
      <c r="K33" s="63">
        <v>7583861.8148999996</v>
      </c>
      <c r="R33" s="48"/>
    </row>
    <row r="34" spans="1:18" ht="15.75" x14ac:dyDescent="0.25">
      <c r="A34" s="18" t="s">
        <v>12</v>
      </c>
      <c r="B34" s="175" t="s">
        <v>17</v>
      </c>
      <c r="C34" s="132"/>
      <c r="D34" s="133"/>
      <c r="E34" s="93"/>
      <c r="F34" s="93"/>
    </row>
    <row r="35" spans="1:18" s="21" customFormat="1" ht="15.75" x14ac:dyDescent="0.25">
      <c r="A35" s="18">
        <v>2021</v>
      </c>
      <c r="B35" s="176"/>
      <c r="C35" s="73">
        <v>15387340820</v>
      </c>
      <c r="D35" s="73">
        <v>14028968519</v>
      </c>
      <c r="E35" s="73">
        <v>14028968519</v>
      </c>
      <c r="F35" s="90">
        <v>1.3299000000000001</v>
      </c>
      <c r="G35" s="90">
        <v>1.1545000000000001</v>
      </c>
      <c r="H35" s="90">
        <v>0.88470000000000004</v>
      </c>
      <c r="I35" s="90">
        <v>0.26979999999999998</v>
      </c>
      <c r="J35" s="90">
        <f>SUM(Table6[[#This Row],[I&amp;S Tax Rate]]+Table6[[#This Row],[M&amp;O Tax Rate]])</f>
        <v>1.1545000000000001</v>
      </c>
      <c r="K35" s="73">
        <v>161964441.55000001</v>
      </c>
      <c r="L35" s="73"/>
      <c r="M35" s="73"/>
      <c r="R35" s="48"/>
    </row>
    <row r="36" spans="1:18" s="21" customFormat="1" ht="15.75" x14ac:dyDescent="0.25">
      <c r="A36" s="18">
        <v>2020</v>
      </c>
      <c r="B36" s="176"/>
      <c r="C36" s="73">
        <v>14956556778</v>
      </c>
      <c r="D36" s="73">
        <v>13786154278</v>
      </c>
      <c r="E36" s="73">
        <v>13786154278</v>
      </c>
      <c r="F36" s="90">
        <v>1.2227699999999999</v>
      </c>
      <c r="G36" s="90">
        <v>1.1589</v>
      </c>
      <c r="H36" s="90">
        <v>0.88470000000000004</v>
      </c>
      <c r="I36" s="90">
        <v>0.26979999999999998</v>
      </c>
      <c r="J36" s="90">
        <f>SUM(Table6[[#This Row],[I&amp;S Tax Rate]]+Table6[[#This Row],[M&amp;O Tax Rate]])</f>
        <v>1.1545000000000001</v>
      </c>
      <c r="K36" s="73">
        <v>159161151</v>
      </c>
      <c r="R36" s="48"/>
    </row>
    <row r="37" spans="1:18" s="21" customFormat="1" ht="15.75" x14ac:dyDescent="0.25">
      <c r="A37" s="18">
        <v>2019</v>
      </c>
      <c r="B37" s="176"/>
      <c r="C37" s="73">
        <v>12686344494</v>
      </c>
      <c r="D37" s="73">
        <v>11588056182</v>
      </c>
      <c r="E37" s="73">
        <v>11588056182</v>
      </c>
      <c r="F37" s="90">
        <v>1.28</v>
      </c>
      <c r="G37" s="90">
        <v>1.4</v>
      </c>
      <c r="H37" s="90">
        <v>0.99</v>
      </c>
      <c r="I37" s="90">
        <v>0.41</v>
      </c>
      <c r="J37" s="90">
        <v>1.4</v>
      </c>
      <c r="K37" s="3">
        <v>162232787</v>
      </c>
      <c r="R37" s="48"/>
    </row>
    <row r="38" spans="1:18" s="21" customFormat="1" ht="15.75" x14ac:dyDescent="0.25">
      <c r="A38" s="18">
        <v>2018</v>
      </c>
      <c r="B38" s="176"/>
      <c r="C38" s="91">
        <v>11050570956</v>
      </c>
      <c r="D38" s="73">
        <v>9921446084</v>
      </c>
      <c r="E38" s="73">
        <v>9921446084</v>
      </c>
      <c r="F38" s="74">
        <v>1.505768</v>
      </c>
      <c r="G38" s="74">
        <v>1.3298019999999999</v>
      </c>
      <c r="H38" s="37">
        <v>1.06</v>
      </c>
      <c r="I38" s="37">
        <v>0.26979999999999998</v>
      </c>
      <c r="J38" s="37">
        <v>1.3298000000000001</v>
      </c>
      <c r="K38" s="3">
        <v>131935390</v>
      </c>
      <c r="R38" s="48"/>
    </row>
    <row r="39" spans="1:18" s="21" customFormat="1" ht="15.75" x14ac:dyDescent="0.25">
      <c r="A39" s="18">
        <v>2017</v>
      </c>
      <c r="B39" s="175"/>
      <c r="C39" s="92">
        <v>9971323517</v>
      </c>
      <c r="D39" s="73">
        <v>8884117887</v>
      </c>
      <c r="E39" s="91">
        <f>SUM(Table6[[#This Row],[Taxable Value for M&amp;O Purposes]])</f>
        <v>8884117887</v>
      </c>
      <c r="F39" s="74">
        <v>1.7786139999999999</v>
      </c>
      <c r="G39" s="18">
        <v>1.3298160000000001</v>
      </c>
      <c r="H39" s="37">
        <v>1.06</v>
      </c>
      <c r="I39" s="37">
        <v>0.26979999999999998</v>
      </c>
      <c r="J39" s="37">
        <v>1.3298000000000001</v>
      </c>
      <c r="K39" s="3">
        <v>118140999</v>
      </c>
      <c r="R39" s="48"/>
    </row>
    <row r="40" spans="1:18" ht="15.75" x14ac:dyDescent="0.25">
      <c r="A40" s="18" t="s">
        <v>13</v>
      </c>
      <c r="B40" s="175" t="s">
        <v>18</v>
      </c>
      <c r="C40" s="132"/>
      <c r="D40" s="133"/>
      <c r="E40" s="93"/>
      <c r="F40" s="93"/>
      <c r="H40" s="38"/>
      <c r="I40" s="38"/>
      <c r="J40" s="38"/>
    </row>
    <row r="41" spans="1:18" s="21" customFormat="1" ht="15.75" x14ac:dyDescent="0.25">
      <c r="A41" s="18">
        <v>2021</v>
      </c>
      <c r="B41" s="176"/>
      <c r="C41" s="92">
        <v>489689920</v>
      </c>
      <c r="D41" s="92">
        <v>356407099</v>
      </c>
      <c r="E41" s="92">
        <v>356407099</v>
      </c>
      <c r="F41" s="74">
        <v>1.137507</v>
      </c>
      <c r="G41" s="90">
        <v>1.21835</v>
      </c>
      <c r="H41" s="90">
        <v>0.97514999999999996</v>
      </c>
      <c r="I41" s="90">
        <v>0.2432</v>
      </c>
      <c r="J41" s="88">
        <f>SUM(Table6[[#This Row],[I&amp;S Tax Rate]]+Table6[[#This Row],[M&amp;O Tax Rate]])</f>
        <v>1.21835</v>
      </c>
      <c r="K41" s="92">
        <v>4342286</v>
      </c>
      <c r="L41" s="92"/>
      <c r="M41" s="92"/>
      <c r="R41" s="48"/>
    </row>
    <row r="42" spans="1:18" s="21" customFormat="1" ht="15" customHeight="1" x14ac:dyDescent="0.25">
      <c r="A42" s="18">
        <v>2020</v>
      </c>
      <c r="B42" s="176"/>
      <c r="C42" s="92">
        <v>437975979</v>
      </c>
      <c r="D42" s="92">
        <v>318305958</v>
      </c>
      <c r="E42" s="92">
        <v>318305958</v>
      </c>
      <c r="F42" s="74">
        <v>1.213884</v>
      </c>
      <c r="G42" s="74">
        <v>1.218407</v>
      </c>
      <c r="H42" s="88">
        <v>1.0547500000000001</v>
      </c>
      <c r="I42" s="88">
        <v>0.1636</v>
      </c>
      <c r="J42" s="88">
        <f>SUM(Table6[[#This Row],[I&amp;S Tax Rate]]+Table6[[#This Row],[M&amp;O Tax Rate]])</f>
        <v>1.21835</v>
      </c>
      <c r="K42" s="92">
        <v>3878081</v>
      </c>
      <c r="R42" s="48"/>
    </row>
    <row r="43" spans="1:18" s="21" customFormat="1" ht="15.75" x14ac:dyDescent="0.25">
      <c r="A43" s="18">
        <v>2019</v>
      </c>
      <c r="B43" s="22"/>
      <c r="C43" s="92">
        <v>321582588</v>
      </c>
      <c r="D43" s="92">
        <v>323797097</v>
      </c>
      <c r="E43" s="92">
        <v>323797097</v>
      </c>
      <c r="F43" s="74">
        <v>1.424415</v>
      </c>
      <c r="G43" s="88">
        <v>1.21835</v>
      </c>
      <c r="H43" s="88">
        <v>1.0683499999999999</v>
      </c>
      <c r="I43" s="88">
        <v>0.15</v>
      </c>
      <c r="J43" s="88">
        <f>SUM(H43+I43)</f>
        <v>1.2183499999999998</v>
      </c>
      <c r="K43" s="3">
        <v>3944982</v>
      </c>
      <c r="R43" s="48"/>
    </row>
    <row r="44" spans="1:18" s="21" customFormat="1" ht="16.149999999999999" customHeight="1" x14ac:dyDescent="0.25">
      <c r="A44" s="18">
        <v>2018</v>
      </c>
      <c r="B44" s="176"/>
      <c r="C44" s="91">
        <v>465782706</v>
      </c>
      <c r="D44" s="92">
        <v>314086141</v>
      </c>
      <c r="E44" s="92">
        <v>314086141</v>
      </c>
      <c r="F44" s="88">
        <v>1.2067870000000001</v>
      </c>
      <c r="G44" s="88">
        <v>1.29</v>
      </c>
      <c r="H44" s="88">
        <v>1.17</v>
      </c>
      <c r="I44" s="88">
        <v>0.12</v>
      </c>
      <c r="J44" s="88">
        <f>SUM(Table6[[#This Row],[M&amp;O Tax Rate]]+Table6[[#This Row],[I&amp;S Tax Rate]])</f>
        <v>1.29</v>
      </c>
      <c r="K44" s="3">
        <v>4051711</v>
      </c>
      <c r="R44" s="48"/>
    </row>
    <row r="45" spans="1:18" s="21" customFormat="1" ht="16.149999999999999" customHeight="1" x14ac:dyDescent="0.25">
      <c r="A45" s="18">
        <v>2017</v>
      </c>
      <c r="B45" s="175"/>
      <c r="C45" s="91">
        <v>478711460</v>
      </c>
      <c r="D45" s="92">
        <v>301636883</v>
      </c>
      <c r="E45" s="92">
        <v>301636883</v>
      </c>
      <c r="F45" s="88">
        <v>1.2528090000000001</v>
      </c>
      <c r="G45" s="67">
        <v>1.29</v>
      </c>
      <c r="H45" s="67">
        <v>1.17</v>
      </c>
      <c r="I45" s="67">
        <v>0.12</v>
      </c>
      <c r="J45" s="67">
        <v>1.29</v>
      </c>
      <c r="K45" s="3">
        <v>3891115</v>
      </c>
      <c r="R45" s="48"/>
    </row>
    <row r="46" spans="1:18" ht="15.75" x14ac:dyDescent="0.25">
      <c r="A46" s="18" t="s">
        <v>14</v>
      </c>
      <c r="B46" s="175" t="s">
        <v>19</v>
      </c>
      <c r="C46" s="132"/>
      <c r="D46" s="133"/>
      <c r="E46" s="133"/>
      <c r="F46" s="93"/>
    </row>
    <row r="47" spans="1:18" s="21" customFormat="1" ht="15.75" x14ac:dyDescent="0.25">
      <c r="A47" s="48"/>
      <c r="B47" s="176"/>
      <c r="C47" s="94">
        <v>4641926757</v>
      </c>
      <c r="D47" s="94">
        <v>4001414871</v>
      </c>
      <c r="E47" s="94">
        <v>4001414871</v>
      </c>
      <c r="F47" s="89">
        <v>1.4531000000000001</v>
      </c>
      <c r="G47" s="89">
        <v>1.3686</v>
      </c>
      <c r="H47" s="89">
        <v>1.0436000000000001</v>
      </c>
      <c r="I47" s="89">
        <v>0.32500000000000001</v>
      </c>
      <c r="J47" s="89">
        <f>SUM(Table6[[#This Row],[I&amp;S Tax Rate]]+Table6[[#This Row],[M&amp;O Tax Rate]])</f>
        <v>1.3686</v>
      </c>
      <c r="K47" s="94">
        <v>54763364</v>
      </c>
      <c r="L47" s="94"/>
      <c r="M47" s="94"/>
      <c r="R47" s="48"/>
    </row>
    <row r="48" spans="1:18" s="21" customFormat="1" ht="15.75" x14ac:dyDescent="0.25">
      <c r="A48" s="18">
        <v>2020</v>
      </c>
      <c r="B48" s="176"/>
      <c r="C48" s="94">
        <v>4717414347</v>
      </c>
      <c r="D48" s="94">
        <v>4266938065</v>
      </c>
      <c r="E48" s="94">
        <v>4266938065</v>
      </c>
      <c r="F48" s="89">
        <v>1.3483000000000001</v>
      </c>
      <c r="G48" s="89">
        <v>1.3411</v>
      </c>
      <c r="H48" s="89">
        <v>1.0436000000000001</v>
      </c>
      <c r="I48" s="89">
        <v>0.29749999999999999</v>
      </c>
      <c r="J48" s="89">
        <f>SUM(Table6[[#This Row],[I&amp;S Tax Rate]]+Table6[[#This Row],[M&amp;O Tax Rate]])</f>
        <v>1.3411</v>
      </c>
      <c r="K48" s="94">
        <v>57223906</v>
      </c>
      <c r="R48" s="48"/>
    </row>
    <row r="49" spans="1:22" s="21" customFormat="1" ht="15.75" x14ac:dyDescent="0.25">
      <c r="A49" s="18">
        <v>2019</v>
      </c>
      <c r="B49" s="176"/>
      <c r="C49" s="94">
        <v>4016195530</v>
      </c>
      <c r="D49" s="94">
        <v>4068142791</v>
      </c>
      <c r="E49" s="94">
        <v>4068142791</v>
      </c>
      <c r="F49" s="89">
        <v>1.3542799999999999</v>
      </c>
      <c r="G49" s="89">
        <v>1.3542799999999999</v>
      </c>
      <c r="H49" s="89">
        <v>1.0683499999999999</v>
      </c>
      <c r="I49" s="89">
        <v>0.28593000000000002</v>
      </c>
      <c r="J49" s="89">
        <v>1.3542799999999999</v>
      </c>
      <c r="K49" s="3">
        <v>55094044</v>
      </c>
      <c r="R49" s="48"/>
    </row>
    <row r="50" spans="1:22" s="21" customFormat="1" ht="15.75" x14ac:dyDescent="0.25">
      <c r="A50" s="18">
        <v>2018</v>
      </c>
      <c r="B50" s="176"/>
      <c r="C50" s="91">
        <v>3838277202</v>
      </c>
      <c r="D50" s="91">
        <v>3443367786</v>
      </c>
      <c r="E50" s="94">
        <v>3490719505</v>
      </c>
      <c r="F50" s="89">
        <v>1.6856</v>
      </c>
      <c r="G50" s="68">
        <v>1.4318900000000001</v>
      </c>
      <c r="H50" s="68">
        <v>1.17</v>
      </c>
      <c r="I50" s="68">
        <v>0.26189000000000001</v>
      </c>
      <c r="J50" s="68">
        <f>SUM(Table6[[#This Row],[M&amp;O Tax Rate]]+Table6[[#This Row],[I&amp;S Tax Rate]])</f>
        <v>1.4318899999999999</v>
      </c>
      <c r="K50" s="3">
        <v>49429248</v>
      </c>
      <c r="R50" s="48"/>
    </row>
    <row r="51" spans="1:22" s="21" customFormat="1" ht="15.75" x14ac:dyDescent="0.25">
      <c r="A51" s="18">
        <v>2017</v>
      </c>
      <c r="B51" s="175"/>
      <c r="C51" s="91">
        <v>3552856934</v>
      </c>
      <c r="D51" s="91">
        <v>3160162303</v>
      </c>
      <c r="E51" s="94">
        <f>SUM(Table6[[#This Row],[Taxable Value for M&amp;O Purposes]])</f>
        <v>3160162303</v>
      </c>
      <c r="F51" s="90">
        <v>1.56071</v>
      </c>
      <c r="G51" s="36">
        <v>1.4515130000000001</v>
      </c>
      <c r="H51" s="68">
        <v>1.17</v>
      </c>
      <c r="I51" s="36">
        <v>0.26189000000000001</v>
      </c>
      <c r="J51" s="68">
        <f>SUM(Table6[[#This Row],[M&amp;O Tax Rate]:[I&amp;S Tax Rate]])</f>
        <v>1.4318899999999999</v>
      </c>
      <c r="K51" s="3">
        <v>45250048</v>
      </c>
      <c r="R51" s="48"/>
    </row>
    <row r="52" spans="1:22" ht="15.75" x14ac:dyDescent="0.25">
      <c r="A52" s="18" t="s">
        <v>15</v>
      </c>
      <c r="B52" s="175" t="s">
        <v>20</v>
      </c>
      <c r="C52" s="132"/>
      <c r="D52" s="133"/>
      <c r="E52" s="93"/>
      <c r="F52" s="93"/>
    </row>
    <row r="53" spans="1:22" s="21" customFormat="1" ht="15.75" x14ac:dyDescent="0.25">
      <c r="A53" s="48"/>
      <c r="C53" s="92">
        <v>763870</v>
      </c>
      <c r="D53" s="92">
        <v>659130</v>
      </c>
      <c r="E53" s="92">
        <v>659130</v>
      </c>
      <c r="F53" s="95">
        <v>1.34179</v>
      </c>
      <c r="G53" s="95">
        <v>1.1122909999999999</v>
      </c>
      <c r="H53" s="95">
        <v>1.0165</v>
      </c>
      <c r="I53" s="95">
        <v>0.24</v>
      </c>
      <c r="J53" s="95">
        <f>SUM(Table6[[#This Row],[I&amp;S Tax Rate]]+Table6[[#This Row],[M&amp;O Tax Rate]])</f>
        <v>1.2565</v>
      </c>
      <c r="K53" s="92">
        <v>8281.9699999999993</v>
      </c>
      <c r="L53" s="92"/>
      <c r="M53" s="92"/>
      <c r="O53" s="107"/>
      <c r="P53" s="107"/>
      <c r="Q53" s="108"/>
      <c r="R53" s="109"/>
      <c r="S53" s="109"/>
      <c r="T53" s="109"/>
      <c r="U53" s="109"/>
      <c r="V53" s="105"/>
    </row>
    <row r="54" spans="1:22" ht="15.75" x14ac:dyDescent="0.25">
      <c r="A54" s="18">
        <v>2020</v>
      </c>
      <c r="B54" s="21"/>
      <c r="C54" s="92">
        <v>763870</v>
      </c>
      <c r="D54" s="92">
        <v>659130</v>
      </c>
      <c r="E54" s="92">
        <v>659130</v>
      </c>
      <c r="F54" s="95">
        <v>1.3221830000000001</v>
      </c>
      <c r="G54" s="95">
        <v>1.2697000000000001</v>
      </c>
      <c r="H54" s="95">
        <v>1.0397000000000001</v>
      </c>
      <c r="I54" s="95">
        <v>0.23</v>
      </c>
      <c r="J54" s="95">
        <f>SUM(Table6[[#This Row],[I&amp;S Tax Rate]]+Table6[[#This Row],[M&amp;O Tax Rate]])</f>
        <v>1.2697000000000001</v>
      </c>
      <c r="K54" s="92">
        <v>8369</v>
      </c>
      <c r="L54" s="104"/>
      <c r="O54" s="107"/>
      <c r="P54" s="107"/>
      <c r="Q54" s="108"/>
      <c r="R54" s="109"/>
      <c r="S54" s="109"/>
      <c r="T54" s="109"/>
      <c r="U54" s="109"/>
      <c r="V54" s="105"/>
    </row>
    <row r="55" spans="1:22" ht="15.75" x14ac:dyDescent="0.25">
      <c r="A55" s="18">
        <v>2019</v>
      </c>
      <c r="B55" s="21"/>
      <c r="C55" s="87">
        <v>763870</v>
      </c>
      <c r="D55" s="92">
        <v>659130</v>
      </c>
      <c r="E55" s="92">
        <v>659130</v>
      </c>
      <c r="F55" s="95">
        <v>1.28</v>
      </c>
      <c r="G55" s="95">
        <v>1.28</v>
      </c>
      <c r="H55" s="95">
        <v>1.04</v>
      </c>
      <c r="I55" s="95">
        <v>0.24</v>
      </c>
      <c r="J55" s="95">
        <f>SUM(H55+I55)</f>
        <v>1.28</v>
      </c>
      <c r="K55" s="3">
        <v>8437</v>
      </c>
      <c r="L55" s="104"/>
      <c r="O55" s="107"/>
      <c r="P55" s="107"/>
      <c r="Q55" s="108"/>
      <c r="R55" s="109"/>
      <c r="S55" s="109"/>
      <c r="T55" s="109"/>
      <c r="U55" s="109"/>
      <c r="V55" s="105"/>
    </row>
    <row r="56" spans="1:22" ht="15.75" x14ac:dyDescent="0.25">
      <c r="A56" s="18">
        <v>2018</v>
      </c>
      <c r="B56" s="21"/>
      <c r="C56" s="87">
        <v>659130</v>
      </c>
      <c r="D56" s="92">
        <v>659130</v>
      </c>
      <c r="E56" s="92">
        <v>659130</v>
      </c>
      <c r="F56" s="95">
        <v>1.2392300000000001</v>
      </c>
      <c r="G56" s="69">
        <v>1.38</v>
      </c>
      <c r="H56" s="69">
        <v>1.17</v>
      </c>
      <c r="I56" s="69">
        <v>0.21</v>
      </c>
      <c r="J56" s="69">
        <v>1.38</v>
      </c>
      <c r="K56" s="3">
        <v>9096</v>
      </c>
      <c r="L56" s="104"/>
      <c r="O56" s="107"/>
      <c r="P56" s="107"/>
      <c r="Q56" s="108"/>
      <c r="R56" s="109"/>
      <c r="S56" s="109"/>
      <c r="T56" s="109"/>
      <c r="U56" s="109"/>
      <c r="V56" s="105"/>
    </row>
    <row r="57" spans="1:22" ht="15.75" x14ac:dyDescent="0.25">
      <c r="A57" s="18">
        <v>2017</v>
      </c>
      <c r="B57" s="31"/>
      <c r="C57" s="87">
        <v>763870</v>
      </c>
      <c r="D57" s="92">
        <v>659130</v>
      </c>
      <c r="E57" s="92">
        <v>659130</v>
      </c>
      <c r="F57" s="95">
        <v>1.4093599999999999</v>
      </c>
      <c r="G57" s="69">
        <v>1.369189</v>
      </c>
      <c r="H57" s="69">
        <v>1.04</v>
      </c>
      <c r="I57" s="69">
        <v>0.34</v>
      </c>
      <c r="J57" s="69">
        <v>1.38</v>
      </c>
      <c r="K57" s="3">
        <v>9095.99</v>
      </c>
    </row>
    <row r="58" spans="1:22" ht="47.25" x14ac:dyDescent="0.25">
      <c r="A58" s="33" t="s">
        <v>64</v>
      </c>
      <c r="B58" s="23" t="s">
        <v>67</v>
      </c>
      <c r="C58" s="42" t="s">
        <v>65</v>
      </c>
      <c r="D58" s="42" t="s">
        <v>66</v>
      </c>
      <c r="E58" s="42" t="s">
        <v>2</v>
      </c>
      <c r="F58" s="42" t="s">
        <v>29</v>
      </c>
      <c r="G58" s="29" t="s">
        <v>86</v>
      </c>
      <c r="H58" s="29" t="s">
        <v>84</v>
      </c>
      <c r="I58" s="42" t="s">
        <v>7</v>
      </c>
      <c r="J58" s="42" t="s">
        <v>8</v>
      </c>
      <c r="K58" s="43" t="s">
        <v>9</v>
      </c>
      <c r="L58" s="44" t="s">
        <v>10</v>
      </c>
    </row>
    <row r="59" spans="1:22" ht="15.75" x14ac:dyDescent="0.25">
      <c r="A59" s="22" t="s">
        <v>44</v>
      </c>
      <c r="B59" s="51" t="s">
        <v>45</v>
      </c>
      <c r="C59" s="132"/>
      <c r="D59" s="132"/>
      <c r="E59" s="81"/>
      <c r="F59" s="73"/>
      <c r="G59" s="46"/>
      <c r="H59" s="46"/>
      <c r="I59" s="46"/>
      <c r="J59" s="46"/>
      <c r="K59" s="156"/>
      <c r="L59" s="156"/>
    </row>
    <row r="60" spans="1:22" s="21" customFormat="1" ht="15.75" x14ac:dyDescent="0.25">
      <c r="A60" s="22">
        <v>2021</v>
      </c>
      <c r="B60" s="174"/>
      <c r="C60" s="96">
        <v>4</v>
      </c>
      <c r="D60" s="81"/>
      <c r="E60" s="129">
        <v>309739244</v>
      </c>
      <c r="F60" s="129">
        <v>269384165</v>
      </c>
      <c r="G60" s="59">
        <v>0</v>
      </c>
      <c r="H60" s="59">
        <v>0.76871</v>
      </c>
      <c r="I60" s="59">
        <v>0.28000000000000003</v>
      </c>
      <c r="J60" s="59">
        <v>0.47</v>
      </c>
      <c r="K60" s="59">
        <f>SUM(Table7[[#This Row],[I&amp;S Tax Rate]]+Table7[[#This Row],[M&amp;O Tax Rate]])</f>
        <v>0.75</v>
      </c>
      <c r="L60" s="92">
        <v>2020381</v>
      </c>
      <c r="M60" s="70"/>
      <c r="R60" s="48"/>
    </row>
    <row r="61" spans="1:22" s="21" customFormat="1" ht="15.75" x14ac:dyDescent="0.25">
      <c r="A61" s="22">
        <v>2020</v>
      </c>
      <c r="B61" s="174"/>
      <c r="C61" s="96">
        <v>4</v>
      </c>
      <c r="D61" s="81"/>
      <c r="E61" s="129">
        <f>SUM(1103998+278749807)</f>
        <v>279853805</v>
      </c>
      <c r="F61" s="129">
        <v>232546461</v>
      </c>
      <c r="G61" s="59">
        <v>0</v>
      </c>
      <c r="H61" s="59">
        <v>0.77773999999999999</v>
      </c>
      <c r="I61" s="59">
        <v>0.28000000000000003</v>
      </c>
      <c r="J61" s="59">
        <v>0.47</v>
      </c>
      <c r="K61" s="59">
        <f>SUM(Table7[[#This Row],[I&amp;S Tax Rate]]+Table7[[#This Row],[M&amp;O Tax Rate]])</f>
        <v>0.75</v>
      </c>
      <c r="L61" s="92">
        <v>1744098</v>
      </c>
      <c r="R61" s="48"/>
    </row>
    <row r="62" spans="1:22" s="21" customFormat="1" ht="15.75" x14ac:dyDescent="0.25">
      <c r="A62" s="22">
        <v>2019</v>
      </c>
      <c r="B62" s="174"/>
      <c r="C62" s="96">
        <v>4</v>
      </c>
      <c r="D62" s="81"/>
      <c r="E62" s="92">
        <v>217051486</v>
      </c>
      <c r="F62" s="129">
        <v>180922273</v>
      </c>
      <c r="G62" s="59">
        <v>0.71653999999999995</v>
      </c>
      <c r="H62" s="59">
        <v>0.81071000000000004</v>
      </c>
      <c r="I62" s="59">
        <v>0.33</v>
      </c>
      <c r="J62" s="59">
        <v>0.48</v>
      </c>
      <c r="K62" s="59">
        <v>0.81</v>
      </c>
      <c r="L62" s="92">
        <v>1465470</v>
      </c>
      <c r="R62" s="48"/>
    </row>
    <row r="63" spans="1:22" s="21" customFormat="1" ht="15.75" x14ac:dyDescent="0.25">
      <c r="A63" s="22">
        <v>2018</v>
      </c>
      <c r="B63" s="174"/>
      <c r="C63" s="96">
        <v>4</v>
      </c>
      <c r="D63" s="81"/>
      <c r="E63" s="92">
        <v>173969957</v>
      </c>
      <c r="F63" s="129">
        <v>159060467</v>
      </c>
      <c r="G63" s="59">
        <v>0.81</v>
      </c>
      <c r="H63" s="59">
        <v>0.87968000000000002</v>
      </c>
      <c r="I63" s="59">
        <v>0.33</v>
      </c>
      <c r="J63" s="59">
        <v>0.48</v>
      </c>
      <c r="K63" s="59">
        <f>SUM(Table7[[#This Row],[M&amp;O Tax Rate]:[I&amp;S Tax Rate]])</f>
        <v>0.81</v>
      </c>
      <c r="L63" s="92">
        <v>1288390</v>
      </c>
      <c r="R63" s="48"/>
    </row>
    <row r="64" spans="1:22" s="21" customFormat="1" ht="15.75" x14ac:dyDescent="0.25">
      <c r="A64" s="22">
        <v>2017</v>
      </c>
      <c r="B64" s="51"/>
      <c r="C64" s="96">
        <v>4</v>
      </c>
      <c r="D64" s="81"/>
      <c r="E64" s="92">
        <v>186310825</v>
      </c>
      <c r="F64" s="92">
        <v>170819965</v>
      </c>
      <c r="G64" s="59">
        <v>0.76434000000000002</v>
      </c>
      <c r="H64" s="59">
        <v>0.79296</v>
      </c>
      <c r="I64" s="59">
        <v>0.28999999999999998</v>
      </c>
      <c r="J64" s="59">
        <v>0.5</v>
      </c>
      <c r="K64" s="59">
        <v>0.79</v>
      </c>
      <c r="L64" s="92">
        <v>1349478</v>
      </c>
      <c r="R64" s="48"/>
    </row>
    <row r="65" spans="1:18" ht="15.75" x14ac:dyDescent="0.25">
      <c r="A65" s="22" t="s">
        <v>44</v>
      </c>
      <c r="B65" s="51" t="s">
        <v>46</v>
      </c>
      <c r="C65" s="132"/>
      <c r="D65" s="132"/>
      <c r="E65" s="157"/>
      <c r="F65" s="157"/>
      <c r="G65" s="72"/>
      <c r="H65" s="46"/>
      <c r="I65" s="72"/>
      <c r="J65" s="46"/>
      <c r="K65" s="158"/>
      <c r="L65" s="92"/>
    </row>
    <row r="66" spans="1:18" s="21" customFormat="1" ht="15.75" x14ac:dyDescent="0.25">
      <c r="A66" s="22">
        <v>2021</v>
      </c>
      <c r="B66" s="174"/>
      <c r="C66" s="96">
        <v>9</v>
      </c>
      <c r="D66" s="81"/>
      <c r="E66" s="129">
        <v>1363790652</v>
      </c>
      <c r="F66" s="129">
        <v>1250597109</v>
      </c>
      <c r="G66" s="40">
        <v>0</v>
      </c>
      <c r="H66" s="40">
        <v>0</v>
      </c>
      <c r="I66" s="40">
        <v>0.04</v>
      </c>
      <c r="J66" s="40">
        <v>0.68</v>
      </c>
      <c r="K66" s="40">
        <f>SUM(Table7[[#This Row],[I&amp;S Tax Rate]]+Table7[[#This Row],[M&amp;O Tax Rate]])</f>
        <v>0.72000000000000008</v>
      </c>
      <c r="L66" s="92">
        <v>9004299</v>
      </c>
      <c r="R66" s="48"/>
    </row>
    <row r="67" spans="1:18" s="21" customFormat="1" ht="15.75" x14ac:dyDescent="0.25">
      <c r="A67" s="22">
        <v>2020</v>
      </c>
      <c r="B67" s="174"/>
      <c r="C67" s="96">
        <v>9</v>
      </c>
      <c r="D67" s="81"/>
      <c r="E67" s="129">
        <f>SUM(104125470+1364282528)</f>
        <v>1468407998</v>
      </c>
      <c r="F67" s="129">
        <v>1390304099</v>
      </c>
      <c r="G67" s="40">
        <v>0</v>
      </c>
      <c r="H67" s="40">
        <v>0</v>
      </c>
      <c r="I67" s="40">
        <v>0.06</v>
      </c>
      <c r="J67" s="40">
        <v>0.62</v>
      </c>
      <c r="K67" s="40">
        <f>SUM(Table7[[#This Row],[I&amp;S Tax Rate]]+Table7[[#This Row],[M&amp;O Tax Rate]])</f>
        <v>0.67999999999999994</v>
      </c>
      <c r="L67" s="92">
        <v>9454068</v>
      </c>
      <c r="R67" s="48"/>
    </row>
    <row r="68" spans="1:18" s="21" customFormat="1" ht="15.75" x14ac:dyDescent="0.25">
      <c r="A68" s="22">
        <v>2019</v>
      </c>
      <c r="B68" s="174"/>
      <c r="C68" s="96">
        <v>9</v>
      </c>
      <c r="D68" s="157"/>
      <c r="E68" s="129">
        <v>1189114414</v>
      </c>
      <c r="F68" s="129">
        <v>1275889862</v>
      </c>
      <c r="G68" s="40">
        <v>0</v>
      </c>
      <c r="H68" s="40">
        <v>0</v>
      </c>
      <c r="I68" s="40">
        <v>0.06</v>
      </c>
      <c r="J68" s="40">
        <v>0.6</v>
      </c>
      <c r="K68" s="40">
        <v>0.66</v>
      </c>
      <c r="L68" s="92">
        <v>8420873</v>
      </c>
      <c r="R68" s="48"/>
    </row>
    <row r="69" spans="1:18" s="21" customFormat="1" ht="15.75" x14ac:dyDescent="0.25">
      <c r="A69" s="22">
        <v>2018</v>
      </c>
      <c r="B69" s="174"/>
      <c r="C69" s="96">
        <v>9</v>
      </c>
      <c r="D69" s="81"/>
      <c r="E69" s="129">
        <v>1250889294</v>
      </c>
      <c r="F69" s="129">
        <v>1063178023</v>
      </c>
      <c r="G69" s="40">
        <v>0</v>
      </c>
      <c r="H69" s="40">
        <v>0</v>
      </c>
      <c r="I69" s="40">
        <v>0.06</v>
      </c>
      <c r="J69" s="40">
        <v>0.6</v>
      </c>
      <c r="K69" s="40">
        <f>SUM(Table7[[#This Row],[M&amp;O Tax Rate]:[I&amp;S Tax Rate]])</f>
        <v>0.65999999999999992</v>
      </c>
      <c r="L69" s="92">
        <v>7016975</v>
      </c>
      <c r="R69" s="48"/>
    </row>
    <row r="70" spans="1:18" s="21" customFormat="1" ht="15.75" x14ac:dyDescent="0.25">
      <c r="A70" s="22">
        <v>2017</v>
      </c>
      <c r="B70" s="51"/>
      <c r="C70" s="96">
        <v>9</v>
      </c>
      <c r="D70" s="81"/>
      <c r="E70" s="129">
        <v>1034426612</v>
      </c>
      <c r="F70" s="129">
        <v>935295724</v>
      </c>
      <c r="G70" s="40">
        <v>0</v>
      </c>
      <c r="H70" s="40">
        <v>0</v>
      </c>
      <c r="I70" s="40">
        <v>0.06</v>
      </c>
      <c r="J70" s="40">
        <v>0.6</v>
      </c>
      <c r="K70" s="40">
        <v>0.66</v>
      </c>
      <c r="L70" s="92">
        <v>6172951.7800000003</v>
      </c>
      <c r="R70" s="48"/>
    </row>
    <row r="71" spans="1:18" ht="15.75" x14ac:dyDescent="0.25">
      <c r="A71" s="22" t="s">
        <v>44</v>
      </c>
      <c r="B71" s="51" t="s">
        <v>47</v>
      </c>
      <c r="C71" s="132"/>
      <c r="D71" s="159"/>
      <c r="E71" s="157"/>
      <c r="F71" s="157"/>
      <c r="G71" s="46"/>
      <c r="H71" s="72"/>
      <c r="I71" s="46"/>
      <c r="J71" s="72"/>
      <c r="K71" s="47"/>
      <c r="L71" s="92"/>
    </row>
    <row r="72" spans="1:18" s="21" customFormat="1" ht="15.75" x14ac:dyDescent="0.25">
      <c r="A72" s="22">
        <v>2021</v>
      </c>
      <c r="B72" s="174"/>
      <c r="C72" s="96">
        <v>11</v>
      </c>
      <c r="D72" s="81"/>
      <c r="E72" s="129">
        <v>814076662</v>
      </c>
      <c r="F72" s="129">
        <v>613038572</v>
      </c>
      <c r="G72" s="56">
        <v>0.49212800000000001</v>
      </c>
      <c r="H72" s="56">
        <v>0.53149800000000003</v>
      </c>
      <c r="I72" s="56">
        <v>0.32868999999999998</v>
      </c>
      <c r="J72" s="56">
        <v>0</v>
      </c>
      <c r="K72" s="56">
        <f>SUM(Table7[[#This Row],[M&amp;O Tax Rate]])</f>
        <v>0.32868999999999998</v>
      </c>
      <c r="L72" s="92">
        <v>2014996.48</v>
      </c>
      <c r="M72" s="129"/>
      <c r="R72" s="48"/>
    </row>
    <row r="73" spans="1:18" s="21" customFormat="1" ht="15.75" x14ac:dyDescent="0.25">
      <c r="A73" s="22">
        <v>2020</v>
      </c>
      <c r="B73" s="174"/>
      <c r="C73" s="96">
        <v>11</v>
      </c>
      <c r="D73" s="81"/>
      <c r="E73" s="129">
        <v>801690856</v>
      </c>
      <c r="F73" s="129">
        <v>600025058</v>
      </c>
      <c r="G73" s="56">
        <v>0.49657699999999999</v>
      </c>
      <c r="H73" s="56">
        <v>0.539072</v>
      </c>
      <c r="I73" s="56">
        <v>0.47869</v>
      </c>
      <c r="J73" s="56">
        <v>0</v>
      </c>
      <c r="K73" s="56">
        <f>SUM(Table7[[#This Row],[M&amp;O Tax Rate]])</f>
        <v>0.47869</v>
      </c>
      <c r="L73" s="92">
        <v>2872260</v>
      </c>
      <c r="R73" s="48"/>
    </row>
    <row r="74" spans="1:18" s="21" customFormat="1" ht="15.75" x14ac:dyDescent="0.25">
      <c r="A74" s="22">
        <v>2019</v>
      </c>
      <c r="B74" s="174"/>
      <c r="C74" s="96">
        <v>11</v>
      </c>
      <c r="D74" s="157"/>
      <c r="E74" s="129">
        <v>791631632</v>
      </c>
      <c r="F74" s="129">
        <v>610700719</v>
      </c>
      <c r="G74" s="56">
        <v>0.47869699999999998</v>
      </c>
      <c r="H74" s="56">
        <v>0.51699200000000001</v>
      </c>
      <c r="I74" s="56">
        <v>0.47869699999999998</v>
      </c>
      <c r="J74" s="56">
        <v>0</v>
      </c>
      <c r="K74" s="56">
        <v>0.47869699999999998</v>
      </c>
      <c r="L74" s="92">
        <v>2923406</v>
      </c>
      <c r="R74" s="48"/>
    </row>
    <row r="75" spans="1:18" s="21" customFormat="1" ht="15.75" x14ac:dyDescent="0.25">
      <c r="A75" s="22">
        <v>2018</v>
      </c>
      <c r="B75" s="174"/>
      <c r="C75" s="96">
        <v>11</v>
      </c>
      <c r="D75" s="81"/>
      <c r="E75" s="129">
        <v>852650533</v>
      </c>
      <c r="F75" s="129">
        <v>561442418</v>
      </c>
      <c r="G75" s="56">
        <v>0.52914899999999998</v>
      </c>
      <c r="H75" s="56">
        <v>0.57147999999999999</v>
      </c>
      <c r="I75" s="56">
        <v>0.51423399999999997</v>
      </c>
      <c r="J75" s="56">
        <v>0</v>
      </c>
      <c r="K75" s="56">
        <v>0.51423399999999997</v>
      </c>
      <c r="L75" s="92">
        <v>2887127.8</v>
      </c>
      <c r="R75" s="48"/>
    </row>
    <row r="76" spans="1:18" s="21" customFormat="1" ht="15.75" x14ac:dyDescent="0.25">
      <c r="A76" s="22">
        <v>2017</v>
      </c>
      <c r="B76" s="51"/>
      <c r="C76" s="96">
        <v>11</v>
      </c>
      <c r="D76" s="81"/>
      <c r="E76" s="129">
        <v>710459159</v>
      </c>
      <c r="F76" s="129">
        <v>547088376</v>
      </c>
      <c r="G76" s="56">
        <v>0.51423399999999997</v>
      </c>
      <c r="H76" s="56">
        <v>0.55537199999999998</v>
      </c>
      <c r="I76" s="56">
        <v>0.53423399999999999</v>
      </c>
      <c r="J76" s="56">
        <v>0</v>
      </c>
      <c r="K76" s="56">
        <v>0.53423399999999999</v>
      </c>
      <c r="L76" s="92">
        <v>2922732.11</v>
      </c>
      <c r="R76" s="48"/>
    </row>
    <row r="77" spans="1:18" ht="15.75" x14ac:dyDescent="0.25">
      <c r="A77" s="22" t="s">
        <v>44</v>
      </c>
      <c r="B77" s="51" t="s">
        <v>49</v>
      </c>
      <c r="C77" s="132"/>
      <c r="D77" s="132"/>
      <c r="E77" s="81"/>
      <c r="F77" s="81"/>
      <c r="G77" s="56"/>
      <c r="H77" s="56"/>
      <c r="I77" s="56"/>
      <c r="J77" s="56"/>
      <c r="K77" s="56"/>
      <c r="L77" s="92"/>
    </row>
    <row r="78" spans="1:18" s="48" customFormat="1" ht="15.75" x14ac:dyDescent="0.25">
      <c r="A78" s="22">
        <v>2021</v>
      </c>
      <c r="B78" s="174"/>
      <c r="C78" s="96">
        <v>18</v>
      </c>
      <c r="D78" s="81"/>
      <c r="E78" s="134">
        <v>3233858420</v>
      </c>
      <c r="F78" s="73">
        <v>2537130046</v>
      </c>
      <c r="G78" s="56">
        <v>0</v>
      </c>
      <c r="H78" s="56">
        <v>0</v>
      </c>
      <c r="I78" s="56">
        <v>1.1820000000000001E-2</v>
      </c>
      <c r="J78" s="56">
        <v>0</v>
      </c>
      <c r="K78" s="56">
        <v>1.1820000000000001E-2</v>
      </c>
      <c r="L78" s="92">
        <v>299888.77</v>
      </c>
    </row>
    <row r="79" spans="1:18" s="21" customFormat="1" ht="15.75" x14ac:dyDescent="0.25">
      <c r="A79" s="22">
        <v>2020</v>
      </c>
      <c r="B79" s="174"/>
      <c r="C79" s="96">
        <v>18</v>
      </c>
      <c r="D79" s="81"/>
      <c r="E79" s="73">
        <v>3042220735</v>
      </c>
      <c r="F79" s="73">
        <v>2355602002</v>
      </c>
      <c r="G79" s="56">
        <v>0</v>
      </c>
      <c r="H79" s="56">
        <v>0</v>
      </c>
      <c r="I79" s="56">
        <v>1.1820000000000001E-2</v>
      </c>
      <c r="J79" s="56">
        <v>0</v>
      </c>
      <c r="K79" s="56">
        <v>1.1820000000000001E-2</v>
      </c>
      <c r="L79" s="92">
        <v>278432</v>
      </c>
      <c r="R79" s="48"/>
    </row>
    <row r="80" spans="1:18" s="21" customFormat="1" ht="15.75" x14ac:dyDescent="0.25">
      <c r="A80" s="22">
        <v>2019</v>
      </c>
      <c r="B80" s="174"/>
      <c r="C80" s="96">
        <v>18</v>
      </c>
      <c r="D80" s="81"/>
      <c r="E80" s="73">
        <v>2349348652</v>
      </c>
      <c r="F80" s="73">
        <v>2137059879</v>
      </c>
      <c r="G80" s="56">
        <v>0</v>
      </c>
      <c r="H80" s="56">
        <v>0</v>
      </c>
      <c r="I80" s="56">
        <v>0.13850000000000001</v>
      </c>
      <c r="J80" s="56">
        <v>0</v>
      </c>
      <c r="K80" s="56">
        <v>1.3849999999999999E-2</v>
      </c>
      <c r="L80" s="92">
        <v>295983</v>
      </c>
      <c r="R80" s="48"/>
    </row>
    <row r="81" spans="1:18" s="21" customFormat="1" ht="15.75" x14ac:dyDescent="0.25">
      <c r="A81" s="22">
        <v>2018</v>
      </c>
      <c r="B81" s="174"/>
      <c r="C81" s="96">
        <v>18</v>
      </c>
      <c r="D81" s="81"/>
      <c r="E81" s="73">
        <v>2552729122</v>
      </c>
      <c r="F81" s="73">
        <v>1816941614</v>
      </c>
      <c r="G81" s="56">
        <v>0</v>
      </c>
      <c r="H81" s="56">
        <v>0</v>
      </c>
      <c r="I81" s="56">
        <v>1.3849999999999999E-2</v>
      </c>
      <c r="J81" s="56">
        <v>0</v>
      </c>
      <c r="K81" s="56">
        <f>SUM(I81+J81)</f>
        <v>1.3849999999999999E-2</v>
      </c>
      <c r="L81" s="92">
        <v>251646</v>
      </c>
      <c r="R81" s="48"/>
    </row>
    <row r="82" spans="1:18" s="21" customFormat="1" ht="15.75" x14ac:dyDescent="0.25">
      <c r="A82" s="22">
        <v>2017</v>
      </c>
      <c r="B82" s="51"/>
      <c r="C82" s="96">
        <v>18</v>
      </c>
      <c r="D82" s="81"/>
      <c r="E82" s="73">
        <v>2150947558</v>
      </c>
      <c r="F82" s="73">
        <v>1544302849</v>
      </c>
      <c r="G82" s="56">
        <v>0</v>
      </c>
      <c r="H82" s="56">
        <v>0</v>
      </c>
      <c r="I82" s="56">
        <v>1.525E-2</v>
      </c>
      <c r="J82" s="56">
        <v>0</v>
      </c>
      <c r="K82" s="56">
        <f>SUM(I82+J82)</f>
        <v>1.525E-2</v>
      </c>
      <c r="L82" s="92">
        <v>235506</v>
      </c>
      <c r="R82" s="48"/>
    </row>
    <row r="83" spans="1:18" ht="15.75" x14ac:dyDescent="0.25">
      <c r="A83" s="22" t="s">
        <v>44</v>
      </c>
      <c r="B83" s="51" t="s">
        <v>50</v>
      </c>
      <c r="C83" s="132"/>
      <c r="D83" s="132"/>
      <c r="E83" s="81"/>
      <c r="F83" s="157"/>
      <c r="G83" s="72"/>
      <c r="H83" s="160"/>
      <c r="I83" s="161"/>
      <c r="J83" s="160"/>
      <c r="K83" s="47"/>
      <c r="L83" s="92"/>
    </row>
    <row r="84" spans="1:18" s="21" customFormat="1" ht="15.75" x14ac:dyDescent="0.25">
      <c r="A84" s="22">
        <v>2021</v>
      </c>
      <c r="B84" s="174"/>
      <c r="C84" s="96">
        <v>23</v>
      </c>
      <c r="D84" s="81"/>
      <c r="E84" s="73">
        <v>1160045905</v>
      </c>
      <c r="F84" s="73">
        <v>895484125</v>
      </c>
      <c r="G84" s="56">
        <v>0.39493</v>
      </c>
      <c r="H84" s="56">
        <v>0.39677000000000001</v>
      </c>
      <c r="I84" s="56">
        <v>0.39677000000000001</v>
      </c>
      <c r="J84" s="56">
        <v>0</v>
      </c>
      <c r="K84" s="56">
        <v>0.39677000000000001</v>
      </c>
      <c r="L84" s="73">
        <v>3553012</v>
      </c>
      <c r="R84" s="48"/>
    </row>
    <row r="85" spans="1:18" s="21" customFormat="1" ht="15.75" x14ac:dyDescent="0.25">
      <c r="A85" s="22">
        <v>2020</v>
      </c>
      <c r="B85" s="174"/>
      <c r="C85" s="96">
        <v>23</v>
      </c>
      <c r="D85" s="81"/>
      <c r="E85" s="73">
        <v>1097741273</v>
      </c>
      <c r="F85" s="73">
        <v>851372448</v>
      </c>
      <c r="G85" s="56">
        <v>0.39493699999999998</v>
      </c>
      <c r="H85" s="56">
        <v>0.41210000000000002</v>
      </c>
      <c r="I85" s="56">
        <v>0.39493699999999998</v>
      </c>
      <c r="J85" s="56">
        <v>0</v>
      </c>
      <c r="K85" s="56">
        <v>0.39493699999999998</v>
      </c>
      <c r="L85" s="73">
        <v>3362385</v>
      </c>
      <c r="M85" s="70"/>
      <c r="R85" s="48"/>
    </row>
    <row r="86" spans="1:18" s="21" customFormat="1" ht="15.75" x14ac:dyDescent="0.25">
      <c r="A86" s="22">
        <v>2019</v>
      </c>
      <c r="B86" s="174"/>
      <c r="C86" s="96">
        <v>23</v>
      </c>
      <c r="D86" s="81"/>
      <c r="E86" s="73">
        <v>1090168425</v>
      </c>
      <c r="F86" s="73">
        <v>853844711</v>
      </c>
      <c r="G86" s="56">
        <v>0.40870000000000001</v>
      </c>
      <c r="H86" s="56">
        <v>0.42244399999999999</v>
      </c>
      <c r="I86" s="56">
        <v>0.40870000000000001</v>
      </c>
      <c r="J86" s="56">
        <v>0</v>
      </c>
      <c r="K86" s="56">
        <f>SUM(I86+J86)</f>
        <v>0.40870000000000001</v>
      </c>
      <c r="L86" s="73">
        <v>3489663</v>
      </c>
      <c r="R86" s="48"/>
    </row>
    <row r="87" spans="1:18" s="21" customFormat="1" ht="15.75" x14ac:dyDescent="0.25">
      <c r="A87" s="22">
        <v>2018</v>
      </c>
      <c r="B87" s="174"/>
      <c r="C87" s="96">
        <v>23</v>
      </c>
      <c r="D87" s="81"/>
      <c r="E87" s="129">
        <v>1223057949</v>
      </c>
      <c r="F87" s="129">
        <v>826506642</v>
      </c>
      <c r="G87" s="56">
        <v>0.40870000000000001</v>
      </c>
      <c r="H87" s="56">
        <v>0.42499999999999999</v>
      </c>
      <c r="I87" s="56">
        <v>0.40699999999999997</v>
      </c>
      <c r="J87" s="56">
        <v>0</v>
      </c>
      <c r="K87" s="56">
        <v>0.40699999999999997</v>
      </c>
      <c r="L87" s="73">
        <v>3363882</v>
      </c>
      <c r="R87" s="48"/>
    </row>
    <row r="88" spans="1:18" s="21" customFormat="1" ht="15.75" x14ac:dyDescent="0.25">
      <c r="A88" s="22">
        <v>2017</v>
      </c>
      <c r="B88" s="51"/>
      <c r="C88" s="96">
        <v>23</v>
      </c>
      <c r="D88" s="81"/>
      <c r="E88" s="129">
        <v>995709734</v>
      </c>
      <c r="F88" s="73">
        <v>792879014</v>
      </c>
      <c r="G88" s="56">
        <v>0.40870000000000001</v>
      </c>
      <c r="H88" s="56">
        <v>0.430371</v>
      </c>
      <c r="I88" s="56">
        <v>0.40870000000000001</v>
      </c>
      <c r="J88" s="56">
        <v>0</v>
      </c>
      <c r="K88" s="56">
        <v>0.40870000000000001</v>
      </c>
      <c r="L88" s="73">
        <v>3240496.53</v>
      </c>
      <c r="R88" s="48"/>
    </row>
    <row r="89" spans="1:18" ht="15.75" x14ac:dyDescent="0.25">
      <c r="A89" s="22" t="s">
        <v>44</v>
      </c>
      <c r="B89" s="51" t="s">
        <v>51</v>
      </c>
      <c r="C89" s="132"/>
      <c r="D89" s="132"/>
      <c r="E89" s="99"/>
      <c r="F89" s="157"/>
      <c r="G89" s="46"/>
      <c r="H89" s="72"/>
      <c r="I89" s="72"/>
      <c r="J89" s="72"/>
      <c r="K89" s="47"/>
      <c r="L89" s="92"/>
      <c r="M89" s="70"/>
    </row>
    <row r="90" spans="1:18" s="21" customFormat="1" ht="15.75" x14ac:dyDescent="0.25">
      <c r="A90" s="22">
        <v>2021</v>
      </c>
      <c r="B90" s="174"/>
      <c r="C90" s="96">
        <v>23</v>
      </c>
      <c r="D90" s="81"/>
      <c r="E90" s="99">
        <v>0</v>
      </c>
      <c r="F90" s="99">
        <v>0</v>
      </c>
      <c r="G90" s="56">
        <v>2.6294000000000001E-2</v>
      </c>
      <c r="H90" s="56">
        <v>0.04</v>
      </c>
      <c r="I90" s="56">
        <v>2.6294000000000001E-2</v>
      </c>
      <c r="J90" s="56">
        <v>0</v>
      </c>
      <c r="K90" s="56">
        <f>SUM(Table7[[#This Row],[M&amp;O Tax Rate]]+Table7[[#This Row],[I&amp;S Tax Rate]])</f>
        <v>2.6294000000000001E-2</v>
      </c>
      <c r="L90" s="92">
        <v>5067847.09</v>
      </c>
      <c r="R90" s="48"/>
    </row>
    <row r="91" spans="1:18" s="21" customFormat="1" ht="15.75" x14ac:dyDescent="0.25">
      <c r="A91" s="22">
        <v>2020</v>
      </c>
      <c r="B91" s="174"/>
      <c r="C91" s="96">
        <v>23</v>
      </c>
      <c r="D91" s="81"/>
      <c r="E91" s="99">
        <v>0</v>
      </c>
      <c r="F91" s="99">
        <v>0</v>
      </c>
      <c r="G91" s="56">
        <v>4.2293999999999998E-2</v>
      </c>
      <c r="H91" s="56">
        <v>4.5753000000000002E-2</v>
      </c>
      <c r="I91" s="56">
        <v>4.2293999999999998E-2</v>
      </c>
      <c r="J91" s="56">
        <v>0</v>
      </c>
      <c r="K91" s="56">
        <v>4.2293999999999998E-2</v>
      </c>
      <c r="L91" s="92">
        <v>4902670</v>
      </c>
      <c r="R91" s="48"/>
    </row>
    <row r="92" spans="1:18" s="21" customFormat="1" ht="15.75" x14ac:dyDescent="0.25">
      <c r="A92" s="22">
        <v>2019</v>
      </c>
      <c r="B92" s="174"/>
      <c r="C92" s="96">
        <v>23</v>
      </c>
      <c r="D92" s="81"/>
      <c r="E92" s="99">
        <v>0</v>
      </c>
      <c r="F92" s="99">
        <v>0</v>
      </c>
      <c r="G92" s="56">
        <v>0.40254000000000001</v>
      </c>
      <c r="H92" s="56">
        <v>4.3473999999999999E-2</v>
      </c>
      <c r="I92" s="56">
        <v>4.3473999999999999E-2</v>
      </c>
      <c r="J92" s="56">
        <v>0</v>
      </c>
      <c r="K92" s="56">
        <v>4.3473999999999999E-2</v>
      </c>
      <c r="L92" s="92">
        <v>4550093</v>
      </c>
      <c r="R92" s="48"/>
    </row>
    <row r="93" spans="1:18" s="21" customFormat="1" ht="15.75" x14ac:dyDescent="0.25">
      <c r="A93" s="22">
        <v>2018</v>
      </c>
      <c r="B93" s="174"/>
      <c r="C93" s="96">
        <v>23</v>
      </c>
      <c r="D93" s="81"/>
      <c r="E93" s="99">
        <v>0</v>
      </c>
      <c r="F93" s="99">
        <v>0</v>
      </c>
      <c r="G93" s="56">
        <v>4.3053000000000001E-2</v>
      </c>
      <c r="H93" s="56">
        <v>4.6496999999999997E-2</v>
      </c>
      <c r="I93" s="56">
        <v>4.3053000000000001E-2</v>
      </c>
      <c r="J93" s="56">
        <v>0</v>
      </c>
      <c r="K93" s="56">
        <v>4.3053000000000001E-2</v>
      </c>
      <c r="L93" s="92">
        <v>4078449.4</v>
      </c>
      <c r="R93" s="48"/>
    </row>
    <row r="94" spans="1:18" s="21" customFormat="1" ht="15.75" x14ac:dyDescent="0.25">
      <c r="A94" s="22">
        <v>2017</v>
      </c>
      <c r="B94" s="51"/>
      <c r="C94" s="96">
        <v>23</v>
      </c>
      <c r="D94" s="81"/>
      <c r="E94" s="99">
        <v>0</v>
      </c>
      <c r="F94" s="99">
        <v>0</v>
      </c>
      <c r="G94" s="56">
        <v>4.3053000000000001E-2</v>
      </c>
      <c r="H94" s="56">
        <v>4.6496999999999997E-2</v>
      </c>
      <c r="I94" s="56">
        <v>4.3053000000000001E-2</v>
      </c>
      <c r="J94" s="56">
        <v>0</v>
      </c>
      <c r="K94" s="56">
        <v>4.3053000000000001E-2</v>
      </c>
      <c r="L94" s="92">
        <v>3779595</v>
      </c>
      <c r="R94" s="48"/>
    </row>
    <row r="95" spans="1:18" ht="15.75" x14ac:dyDescent="0.25">
      <c r="A95" s="22" t="s">
        <v>44</v>
      </c>
      <c r="B95" s="51" t="s">
        <v>52</v>
      </c>
      <c r="C95" s="51"/>
      <c r="D95" s="132"/>
      <c r="E95" s="159"/>
      <c r="F95" s="81"/>
      <c r="G95" s="72"/>
      <c r="H95" s="46"/>
      <c r="I95" s="72"/>
      <c r="J95" s="46"/>
      <c r="K95" s="158"/>
      <c r="L95" s="92"/>
    </row>
    <row r="96" spans="1:18" s="21" customFormat="1" ht="15.75" x14ac:dyDescent="0.25">
      <c r="A96" s="22">
        <v>2021</v>
      </c>
      <c r="B96" s="174"/>
      <c r="C96" s="96">
        <v>40</v>
      </c>
      <c r="D96" s="81"/>
      <c r="E96" s="102">
        <v>0</v>
      </c>
      <c r="F96" s="74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92">
        <v>0</v>
      </c>
      <c r="R96" s="48"/>
    </row>
    <row r="97" spans="1:18" s="21" customFormat="1" ht="15.75" x14ac:dyDescent="0.25">
      <c r="A97" s="22">
        <v>2020</v>
      </c>
      <c r="B97" s="22"/>
      <c r="C97" s="96">
        <v>40</v>
      </c>
      <c r="D97" s="96"/>
      <c r="E97" s="102">
        <v>0</v>
      </c>
      <c r="F97" s="74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92">
        <v>0</v>
      </c>
      <c r="M97" s="70"/>
      <c r="R97" s="48"/>
    </row>
    <row r="98" spans="1:18" s="21" customFormat="1" ht="15.75" x14ac:dyDescent="0.25">
      <c r="A98" s="22">
        <v>2019</v>
      </c>
      <c r="B98" s="51"/>
      <c r="C98" s="98">
        <v>40</v>
      </c>
      <c r="D98" s="81"/>
      <c r="E98" s="102">
        <v>0</v>
      </c>
      <c r="F98" s="74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92">
        <v>0</v>
      </c>
      <c r="R98" s="48"/>
    </row>
    <row r="99" spans="1:18" s="21" customFormat="1" ht="15.75" x14ac:dyDescent="0.25">
      <c r="A99" s="22">
        <v>2018</v>
      </c>
      <c r="B99" s="22"/>
      <c r="C99" s="96">
        <v>40</v>
      </c>
      <c r="D99" s="100"/>
      <c r="E99" s="102">
        <v>0</v>
      </c>
      <c r="F99" s="74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92">
        <v>0</v>
      </c>
      <c r="R99" s="48"/>
    </row>
    <row r="100" spans="1:18" s="21" customFormat="1" ht="15.75" x14ac:dyDescent="0.25">
      <c r="A100" s="22">
        <v>2017</v>
      </c>
      <c r="B100" s="22"/>
      <c r="C100" s="96">
        <v>40</v>
      </c>
      <c r="D100" s="96"/>
      <c r="E100" s="102">
        <v>0</v>
      </c>
      <c r="F100" s="74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92">
        <v>0</v>
      </c>
      <c r="R100" s="48"/>
    </row>
    <row r="101" spans="1:18" ht="16.149999999999999" customHeight="1" x14ac:dyDescent="0.25">
      <c r="A101" s="22" t="s">
        <v>53</v>
      </c>
      <c r="B101" s="51" t="s">
        <v>54</v>
      </c>
      <c r="C101" s="81"/>
      <c r="D101" s="157"/>
      <c r="E101" s="130"/>
      <c r="F101" s="130"/>
      <c r="G101" s="65"/>
      <c r="H101" s="65"/>
      <c r="I101" s="65"/>
      <c r="J101" s="40"/>
      <c r="K101" s="65"/>
      <c r="L101" s="92"/>
    </row>
    <row r="102" spans="1:18" s="21" customFormat="1" ht="16.149999999999999" customHeight="1" x14ac:dyDescent="0.25">
      <c r="A102" s="22">
        <v>2021</v>
      </c>
      <c r="B102" s="48"/>
      <c r="C102" s="96">
        <v>9</v>
      </c>
      <c r="D102" s="81"/>
      <c r="E102" s="102">
        <v>0</v>
      </c>
      <c r="F102" s="91">
        <v>476527496</v>
      </c>
      <c r="G102" s="22">
        <v>0</v>
      </c>
      <c r="H102" s="40">
        <v>0</v>
      </c>
      <c r="I102" s="40">
        <v>0.2</v>
      </c>
      <c r="J102" s="40">
        <v>0.49</v>
      </c>
      <c r="K102" s="40">
        <f>SUM(Table7[[#This Row],[I&amp;S Tax Rate]]+Table7[[#This Row],[M&amp;O Tax Rate]])</f>
        <v>0.69</v>
      </c>
      <c r="L102" s="91">
        <v>3288039.72</v>
      </c>
      <c r="R102" s="48"/>
    </row>
    <row r="103" spans="1:18" s="21" customFormat="1" ht="16.149999999999999" customHeight="1" x14ac:dyDescent="0.25">
      <c r="A103" s="22">
        <v>2020</v>
      </c>
      <c r="B103" s="22"/>
      <c r="C103" s="96">
        <v>9</v>
      </c>
      <c r="D103" s="96"/>
      <c r="E103" s="102">
        <v>0</v>
      </c>
      <c r="F103" s="91">
        <v>488494068</v>
      </c>
      <c r="G103" s="22">
        <v>0</v>
      </c>
      <c r="H103" s="40">
        <v>0</v>
      </c>
      <c r="I103" s="40">
        <v>0.25</v>
      </c>
      <c r="J103" s="40">
        <v>0.43</v>
      </c>
      <c r="K103" s="40">
        <f>SUM(Table7[[#This Row],[I&amp;S Tax Rate]]+Table7[[#This Row],[M&amp;O Tax Rate]])</f>
        <v>0.67999999999999994</v>
      </c>
      <c r="L103" s="91">
        <v>3431684</v>
      </c>
      <c r="R103" s="48"/>
    </row>
    <row r="104" spans="1:18" s="21" customFormat="1" ht="16.149999999999999" customHeight="1" x14ac:dyDescent="0.25">
      <c r="A104" s="22">
        <v>2019</v>
      </c>
      <c r="B104" s="22"/>
      <c r="C104" s="96">
        <v>9</v>
      </c>
      <c r="D104" s="96"/>
      <c r="E104" s="102">
        <v>0</v>
      </c>
      <c r="F104" s="91">
        <v>462386696</v>
      </c>
      <c r="G104" s="22">
        <v>0</v>
      </c>
      <c r="H104" s="40">
        <v>0</v>
      </c>
      <c r="I104" s="40">
        <v>0.33</v>
      </c>
      <c r="J104" s="40">
        <v>0.35</v>
      </c>
      <c r="K104" s="40">
        <f>SUM(Table7[[#This Row],[M&amp;O Tax Rate]]+Table7[[#This Row],[I&amp;S Tax Rate]])</f>
        <v>0.67999999999999994</v>
      </c>
      <c r="L104" s="91">
        <v>3144230</v>
      </c>
      <c r="R104" s="48"/>
    </row>
    <row r="105" spans="1:18" s="21" customFormat="1" ht="16.149999999999999" customHeight="1" x14ac:dyDescent="0.25">
      <c r="A105" s="22">
        <v>2018</v>
      </c>
      <c r="B105" s="22"/>
      <c r="C105" s="96">
        <v>9</v>
      </c>
      <c r="D105" s="96"/>
      <c r="E105" s="102">
        <v>0</v>
      </c>
      <c r="F105" s="91">
        <v>302300183</v>
      </c>
      <c r="G105" s="22">
        <v>0</v>
      </c>
      <c r="H105" s="40">
        <v>0</v>
      </c>
      <c r="I105" s="40">
        <v>0.24249999999999999</v>
      </c>
      <c r="J105" s="40">
        <v>0.40749999999999997</v>
      </c>
      <c r="K105" s="40">
        <f>SUM(Table7[[#This Row],[I&amp;S Tax Rate]]+Table7[[#This Row],[M&amp;O Tax Rate]])</f>
        <v>0.64999999999999991</v>
      </c>
      <c r="L105" s="91">
        <v>1964951</v>
      </c>
      <c r="R105" s="48"/>
    </row>
    <row r="106" spans="1:18" s="21" customFormat="1" ht="16.149999999999999" customHeight="1" x14ac:dyDescent="0.25">
      <c r="A106" s="22">
        <v>2017</v>
      </c>
      <c r="B106" s="22"/>
      <c r="C106" s="22">
        <v>9</v>
      </c>
      <c r="D106" s="22"/>
      <c r="E106" s="102">
        <v>0</v>
      </c>
      <c r="F106" s="91">
        <v>265758972</v>
      </c>
      <c r="G106" s="22">
        <v>0</v>
      </c>
      <c r="H106" s="40">
        <v>0</v>
      </c>
      <c r="I106" s="40">
        <v>0</v>
      </c>
      <c r="J106" s="40">
        <v>0</v>
      </c>
      <c r="K106" s="40">
        <v>0.65</v>
      </c>
      <c r="L106" s="91">
        <v>1727433.32</v>
      </c>
      <c r="R106" s="48"/>
    </row>
    <row r="107" spans="1:18" ht="15.75" x14ac:dyDescent="0.25">
      <c r="A107" s="22" t="s">
        <v>53</v>
      </c>
      <c r="B107" s="51" t="s">
        <v>55</v>
      </c>
      <c r="C107" s="132"/>
      <c r="D107" s="159"/>
      <c r="E107" s="130"/>
      <c r="F107" s="130"/>
      <c r="G107" s="60"/>
      <c r="H107" s="41"/>
      <c r="I107" s="60"/>
      <c r="J107" s="41"/>
      <c r="K107" s="60"/>
      <c r="L107" s="92"/>
    </row>
    <row r="108" spans="1:18" s="21" customFormat="1" ht="15.75" x14ac:dyDescent="0.25">
      <c r="A108" s="22">
        <v>2021</v>
      </c>
      <c r="B108" s="48"/>
      <c r="C108" s="96">
        <v>18</v>
      </c>
      <c r="D108" s="81"/>
      <c r="E108" s="91">
        <v>2993060390</v>
      </c>
      <c r="F108" s="91">
        <v>2759570102</v>
      </c>
      <c r="G108" s="40">
        <v>0</v>
      </c>
      <c r="H108" s="40">
        <v>0</v>
      </c>
      <c r="I108" s="40">
        <v>0.03</v>
      </c>
      <c r="J108" s="40">
        <v>0</v>
      </c>
      <c r="K108" s="40">
        <v>0.03</v>
      </c>
      <c r="L108" s="92">
        <v>827871</v>
      </c>
      <c r="R108" s="48"/>
    </row>
    <row r="109" spans="1:18" s="21" customFormat="1" ht="15.75" x14ac:dyDescent="0.25">
      <c r="A109" s="22">
        <v>2020</v>
      </c>
      <c r="B109" s="22"/>
      <c r="C109" s="96">
        <v>18</v>
      </c>
      <c r="D109" s="96"/>
      <c r="E109" s="91">
        <f>SUM(3035170418+120534719)</f>
        <v>3155705137</v>
      </c>
      <c r="F109" s="91">
        <v>2925406388</v>
      </c>
      <c r="G109" s="40">
        <v>0.03</v>
      </c>
      <c r="H109" s="40">
        <v>0</v>
      </c>
      <c r="I109" s="40">
        <v>0.03</v>
      </c>
      <c r="J109" s="40">
        <v>0</v>
      </c>
      <c r="K109" s="40">
        <v>0.03</v>
      </c>
      <c r="L109" s="92">
        <v>877622</v>
      </c>
      <c r="R109" s="48"/>
    </row>
    <row r="110" spans="1:18" s="21" customFormat="1" ht="15.75" x14ac:dyDescent="0.25">
      <c r="A110" s="22">
        <v>2019</v>
      </c>
      <c r="B110" s="48"/>
      <c r="C110" s="98">
        <v>18</v>
      </c>
      <c r="D110" s="81"/>
      <c r="E110" s="91">
        <v>2976625158</v>
      </c>
      <c r="F110" s="91">
        <v>2742512965</v>
      </c>
      <c r="G110" s="40">
        <v>0.03</v>
      </c>
      <c r="H110" s="40">
        <v>0</v>
      </c>
      <c r="I110" s="40">
        <v>0.03</v>
      </c>
      <c r="J110" s="40">
        <v>0</v>
      </c>
      <c r="K110" s="40">
        <v>0.03</v>
      </c>
      <c r="L110" s="92">
        <v>750142</v>
      </c>
      <c r="R110" s="48"/>
    </row>
    <row r="111" spans="1:18" s="21" customFormat="1" ht="15.75" x14ac:dyDescent="0.25">
      <c r="A111" s="22">
        <v>2018</v>
      </c>
      <c r="B111" s="48"/>
      <c r="C111" s="98">
        <v>18</v>
      </c>
      <c r="D111" s="157"/>
      <c r="E111" s="91">
        <v>2435424356</v>
      </c>
      <c r="F111" s="91">
        <v>2282577812</v>
      </c>
      <c r="G111" s="40">
        <v>2.4E-2</v>
      </c>
      <c r="H111" s="40">
        <v>0</v>
      </c>
      <c r="I111" s="40">
        <v>0</v>
      </c>
      <c r="J111" s="40">
        <v>0</v>
      </c>
      <c r="K111" s="40">
        <v>2.4E-2</v>
      </c>
      <c r="L111" s="92">
        <v>547818.6</v>
      </c>
      <c r="R111" s="48"/>
    </row>
    <row r="112" spans="1:18" s="21" customFormat="1" ht="15.75" x14ac:dyDescent="0.25">
      <c r="A112" s="22">
        <v>2017</v>
      </c>
      <c r="B112" s="51"/>
      <c r="C112" s="98">
        <v>18</v>
      </c>
      <c r="D112" s="81"/>
      <c r="E112" s="91">
        <v>2217817689</v>
      </c>
      <c r="F112" s="91">
        <v>2213132339</v>
      </c>
      <c r="G112" s="40">
        <v>2.4E-2</v>
      </c>
      <c r="H112" s="40">
        <v>0</v>
      </c>
      <c r="I112" s="40">
        <v>2.4E-2</v>
      </c>
      <c r="J112" s="40">
        <v>0</v>
      </c>
      <c r="K112" s="40">
        <v>2.4E-2</v>
      </c>
      <c r="L112" s="92">
        <v>531151.76</v>
      </c>
      <c r="R112" s="48"/>
    </row>
    <row r="113" spans="1:18" ht="15.75" x14ac:dyDescent="0.25">
      <c r="A113" s="22" t="s">
        <v>56</v>
      </c>
      <c r="B113" s="51" t="s">
        <v>57</v>
      </c>
      <c r="C113" s="132"/>
      <c r="D113" s="157"/>
      <c r="E113" s="130"/>
      <c r="F113" s="130"/>
      <c r="G113" s="41"/>
      <c r="H113" s="60"/>
      <c r="I113" s="41"/>
      <c r="J113" s="60"/>
      <c r="K113" s="41"/>
      <c r="L113" s="92"/>
    </row>
    <row r="114" spans="1:18" s="21" customFormat="1" ht="15.75" x14ac:dyDescent="0.25">
      <c r="A114" s="22">
        <v>2021</v>
      </c>
      <c r="B114" s="48"/>
      <c r="C114" s="96">
        <v>9</v>
      </c>
      <c r="D114" s="81"/>
      <c r="E114" s="91">
        <v>0</v>
      </c>
      <c r="F114" s="91">
        <v>78595117</v>
      </c>
      <c r="G114" s="40">
        <v>0</v>
      </c>
      <c r="H114" s="40">
        <v>0</v>
      </c>
      <c r="I114" s="40">
        <v>1</v>
      </c>
      <c r="J114" s="40">
        <v>0</v>
      </c>
      <c r="K114" s="40">
        <v>1</v>
      </c>
      <c r="L114" s="92">
        <v>785951</v>
      </c>
      <c r="R114" s="48"/>
    </row>
    <row r="115" spans="1:18" s="21" customFormat="1" ht="15.75" x14ac:dyDescent="0.25">
      <c r="A115" s="22">
        <v>2020</v>
      </c>
      <c r="B115" s="48"/>
      <c r="C115" s="96">
        <v>9</v>
      </c>
      <c r="D115" s="81"/>
      <c r="E115" s="91">
        <v>0</v>
      </c>
      <c r="F115" s="91">
        <v>65398296</v>
      </c>
      <c r="G115" s="40">
        <v>1.01</v>
      </c>
      <c r="H115" s="40">
        <v>1.01</v>
      </c>
      <c r="I115" s="40">
        <v>1</v>
      </c>
      <c r="J115" s="40">
        <v>0</v>
      </c>
      <c r="K115" s="40">
        <v>1</v>
      </c>
      <c r="L115" s="92">
        <v>677493</v>
      </c>
      <c r="R115" s="48"/>
    </row>
    <row r="116" spans="1:18" s="21" customFormat="1" ht="15.75" x14ac:dyDescent="0.25">
      <c r="A116" s="22">
        <v>2019</v>
      </c>
      <c r="B116" s="48"/>
      <c r="C116" s="96">
        <v>9</v>
      </c>
      <c r="D116" s="131"/>
      <c r="E116" s="91">
        <v>0</v>
      </c>
      <c r="F116" s="91">
        <v>68044142</v>
      </c>
      <c r="G116" s="40">
        <v>1.01</v>
      </c>
      <c r="H116" s="40">
        <v>1.01</v>
      </c>
      <c r="I116" s="40">
        <v>1</v>
      </c>
      <c r="J116" s="40">
        <v>0</v>
      </c>
      <c r="K116" s="40">
        <v>1</v>
      </c>
      <c r="L116" s="92">
        <v>680441</v>
      </c>
      <c r="R116" s="48"/>
    </row>
    <row r="117" spans="1:18" s="21" customFormat="1" ht="15.75" x14ac:dyDescent="0.25">
      <c r="A117" s="22">
        <v>2018</v>
      </c>
      <c r="B117" s="48"/>
      <c r="C117" s="96">
        <v>9</v>
      </c>
      <c r="D117" s="81"/>
      <c r="E117" s="91">
        <v>0</v>
      </c>
      <c r="F117" s="91">
        <v>41004932</v>
      </c>
      <c r="G117" s="40">
        <v>1.01</v>
      </c>
      <c r="H117" s="40">
        <v>1.01</v>
      </c>
      <c r="I117" s="40">
        <v>1</v>
      </c>
      <c r="J117" s="40">
        <v>0</v>
      </c>
      <c r="K117" s="40">
        <v>1</v>
      </c>
      <c r="L117" s="92">
        <v>410049</v>
      </c>
      <c r="M117" s="64"/>
      <c r="R117" s="48"/>
    </row>
    <row r="118" spans="1:18" s="21" customFormat="1" ht="15.75" x14ac:dyDescent="0.25">
      <c r="A118" s="22">
        <v>2017</v>
      </c>
      <c r="B118" s="51"/>
      <c r="C118" s="96">
        <v>9</v>
      </c>
      <c r="D118" s="131"/>
      <c r="E118" s="91">
        <v>0</v>
      </c>
      <c r="F118" s="92">
        <v>23602909</v>
      </c>
      <c r="G118" s="40">
        <v>0</v>
      </c>
      <c r="H118" s="40">
        <v>0</v>
      </c>
      <c r="I118" s="40">
        <v>0</v>
      </c>
      <c r="J118" s="40">
        <v>0</v>
      </c>
      <c r="K118" s="40">
        <v>1</v>
      </c>
      <c r="L118" s="92">
        <v>236029</v>
      </c>
      <c r="R118" s="48"/>
    </row>
    <row r="119" spans="1:18" ht="15.75" x14ac:dyDescent="0.25">
      <c r="A119" s="22" t="s">
        <v>58</v>
      </c>
      <c r="B119" s="51" t="s">
        <v>87</v>
      </c>
      <c r="C119" s="132"/>
      <c r="D119" s="132"/>
      <c r="E119" s="74"/>
      <c r="F119" s="130"/>
      <c r="G119" s="55"/>
      <c r="H119" s="55"/>
      <c r="I119" s="55"/>
      <c r="J119" s="55"/>
      <c r="K119" s="55"/>
      <c r="L119" s="92"/>
    </row>
    <row r="120" spans="1:18" s="21" customFormat="1" ht="15.75" x14ac:dyDescent="0.25">
      <c r="A120" s="22">
        <v>2021</v>
      </c>
      <c r="B120" s="48"/>
      <c r="C120" s="96">
        <v>15</v>
      </c>
      <c r="D120" s="96" t="s">
        <v>48</v>
      </c>
      <c r="E120" s="73">
        <v>4642045717</v>
      </c>
      <c r="F120" s="73">
        <v>4014885271</v>
      </c>
      <c r="G120" s="55">
        <v>0.24690000000000001</v>
      </c>
      <c r="H120" s="55">
        <v>0.2656</v>
      </c>
      <c r="I120" s="55">
        <v>0.20849999999999999</v>
      </c>
      <c r="J120" s="55">
        <v>2.1600000000000001E-2</v>
      </c>
      <c r="K120" s="55">
        <f>SUM(Table7[[#This Row],[I&amp;S Tax Rate]]+Table7[[#This Row],[M&amp;O Tax Rate]])</f>
        <v>0.2301</v>
      </c>
      <c r="L120" s="92">
        <v>9238251.0099999998</v>
      </c>
      <c r="R120" s="48"/>
    </row>
    <row r="121" spans="1:18" s="21" customFormat="1" ht="15.75" x14ac:dyDescent="0.25">
      <c r="A121" s="22">
        <v>2020</v>
      </c>
      <c r="B121" s="48"/>
      <c r="C121" s="96">
        <v>15</v>
      </c>
      <c r="D121" s="96" t="s">
        <v>48</v>
      </c>
      <c r="E121" s="73">
        <f>SUM(742716373+3974697974)</f>
        <v>4717414347</v>
      </c>
      <c r="F121" s="73">
        <v>4283236845</v>
      </c>
      <c r="G121" s="55">
        <v>0.23350000000000001</v>
      </c>
      <c r="H121" s="55">
        <v>0.24709999999999999</v>
      </c>
      <c r="I121" s="55">
        <v>0.21029999999999999</v>
      </c>
      <c r="J121" s="55">
        <v>1.9800000000000002E-2</v>
      </c>
      <c r="K121" s="55">
        <f>SUM(Table7[[#This Row],[I&amp;S Tax Rate]]+Table7[[#This Row],[M&amp;O Tax Rate]])</f>
        <v>0.2301</v>
      </c>
      <c r="L121" s="92">
        <v>9855728</v>
      </c>
      <c r="R121" s="48"/>
    </row>
    <row r="122" spans="1:18" s="21" customFormat="1" ht="15.75" x14ac:dyDescent="0.25">
      <c r="A122" s="22">
        <v>2019</v>
      </c>
      <c r="B122" s="48"/>
      <c r="C122" s="96">
        <v>15</v>
      </c>
      <c r="D122" s="96" t="s">
        <v>48</v>
      </c>
      <c r="E122" s="73">
        <v>4479867749</v>
      </c>
      <c r="F122" s="92">
        <v>4086783931</v>
      </c>
      <c r="G122" s="55">
        <v>0.22450000000000001</v>
      </c>
      <c r="H122" s="55">
        <v>0.24010000000000001</v>
      </c>
      <c r="I122" s="55">
        <v>0.20710000000000001</v>
      </c>
      <c r="J122" s="55">
        <v>2.3E-2</v>
      </c>
      <c r="K122" s="55">
        <v>0.2301</v>
      </c>
      <c r="L122" s="92">
        <v>9403690</v>
      </c>
      <c r="R122" s="48"/>
    </row>
    <row r="123" spans="1:18" s="21" customFormat="1" ht="15.75" x14ac:dyDescent="0.25">
      <c r="A123" s="22">
        <v>2018</v>
      </c>
      <c r="B123" s="48"/>
      <c r="C123" s="96">
        <v>15</v>
      </c>
      <c r="D123" s="100" t="s">
        <v>48</v>
      </c>
      <c r="E123" s="73">
        <v>3766468046</v>
      </c>
      <c r="F123" s="92">
        <v>3505060768</v>
      </c>
      <c r="G123" s="55">
        <v>0.25009999999999999</v>
      </c>
      <c r="H123" s="55">
        <v>0.26379999999999998</v>
      </c>
      <c r="I123" s="55">
        <v>0.22409999999999999</v>
      </c>
      <c r="J123" s="55">
        <v>2.5999999999999999E-2</v>
      </c>
      <c r="K123" s="55">
        <f>SUM(Table7[[#This Row],[M&amp;O Tax Rate]]+Table7[[#This Row],[I&amp;S Tax Rate]])</f>
        <v>0.25009999999999999</v>
      </c>
      <c r="L123" s="92">
        <v>8766157</v>
      </c>
      <c r="R123" s="48"/>
    </row>
    <row r="124" spans="1:18" s="21" customFormat="1" ht="15.75" x14ac:dyDescent="0.25">
      <c r="A124" s="22">
        <v>2017</v>
      </c>
      <c r="B124" s="51"/>
      <c r="C124" s="96">
        <v>15</v>
      </c>
      <c r="D124" s="96" t="s">
        <v>48</v>
      </c>
      <c r="E124" s="129">
        <v>3447682674</v>
      </c>
      <c r="F124" s="129">
        <v>3167172153</v>
      </c>
      <c r="G124" s="55">
        <v>0.25040000000000001</v>
      </c>
      <c r="H124" s="55">
        <v>0.26500000000000001</v>
      </c>
      <c r="I124" s="55">
        <v>0.2205</v>
      </c>
      <c r="J124" s="55">
        <v>2.9899999999999999E-2</v>
      </c>
      <c r="K124" s="55">
        <v>0.25040000000000001</v>
      </c>
      <c r="L124" s="92">
        <v>7930599.0700000003</v>
      </c>
      <c r="R124" s="48"/>
    </row>
    <row r="125" spans="1:18" ht="15.75" x14ac:dyDescent="0.25">
      <c r="A125" s="22" t="s">
        <v>60</v>
      </c>
      <c r="B125" s="51" t="s">
        <v>61</v>
      </c>
      <c r="C125" s="132"/>
      <c r="D125" s="132"/>
      <c r="E125" s="130"/>
      <c r="F125" s="130"/>
      <c r="G125" s="41"/>
      <c r="H125" s="41"/>
      <c r="I125" s="41"/>
      <c r="J125" s="60"/>
      <c r="K125" s="41"/>
      <c r="L125" s="92"/>
    </row>
    <row r="126" spans="1:18" s="21" customFormat="1" ht="15.75" x14ac:dyDescent="0.25">
      <c r="A126" s="22">
        <v>2021</v>
      </c>
      <c r="B126" s="48"/>
      <c r="C126" s="96">
        <v>15</v>
      </c>
      <c r="D126" s="97" t="s">
        <v>48</v>
      </c>
      <c r="E126" s="87">
        <v>763870</v>
      </c>
      <c r="F126" s="87">
        <v>659130</v>
      </c>
      <c r="G126" s="131">
        <v>0.16256599999999999</v>
      </c>
      <c r="H126" s="131">
        <v>0.171125</v>
      </c>
      <c r="I126" s="131">
        <v>0.11283799999999999</v>
      </c>
      <c r="J126" s="131">
        <v>5.5128999999999997E-2</v>
      </c>
      <c r="K126" s="131">
        <f>SUM(Table7[[#This Row],[I&amp;S Tax Rate]]+Table7[[#This Row],[M&amp;O Tax Rate]])</f>
        <v>0.16796699999999998</v>
      </c>
      <c r="L126" s="92">
        <v>1107.1199999999999</v>
      </c>
      <c r="R126" s="48"/>
    </row>
    <row r="127" spans="1:18" s="21" customFormat="1" ht="15.75" x14ac:dyDescent="0.25">
      <c r="A127" s="22">
        <v>2020</v>
      </c>
      <c r="B127" s="48"/>
      <c r="C127" s="96">
        <v>15</v>
      </c>
      <c r="D127" s="97" t="s">
        <v>48</v>
      </c>
      <c r="E127" s="87">
        <f>SUM(763870)</f>
        <v>763870</v>
      </c>
      <c r="F127" s="87">
        <v>659130</v>
      </c>
      <c r="G127" s="131">
        <v>0.16935800000000001</v>
      </c>
      <c r="H127" s="131">
        <v>0.178118</v>
      </c>
      <c r="I127" s="131">
        <v>0.111738</v>
      </c>
      <c r="J127" s="131">
        <v>5.7619999999999998E-2</v>
      </c>
      <c r="K127" s="131">
        <f>SUM(Table7[[#This Row],[I&amp;S Tax Rate]]+Table7[[#This Row],[M&amp;O Tax Rate]])</f>
        <v>0.16935800000000001</v>
      </c>
      <c r="L127" s="92">
        <v>1116</v>
      </c>
      <c r="R127" s="48"/>
    </row>
    <row r="128" spans="1:18" s="21" customFormat="1" ht="15.75" x14ac:dyDescent="0.25">
      <c r="A128" s="22">
        <v>2019</v>
      </c>
      <c r="B128" s="48"/>
      <c r="C128" s="96">
        <v>15</v>
      </c>
      <c r="D128" s="97" t="s">
        <v>48</v>
      </c>
      <c r="E128" s="87">
        <v>763870</v>
      </c>
      <c r="F128" s="87">
        <v>659130</v>
      </c>
      <c r="G128" s="131">
        <v>0.16583700000000001</v>
      </c>
      <c r="H128" s="131">
        <v>0.187969</v>
      </c>
      <c r="I128" s="131">
        <v>0.11725099999999999</v>
      </c>
      <c r="J128" s="131">
        <v>6.0918E-2</v>
      </c>
      <c r="K128" s="131">
        <f>SUM(Table7[[#This Row],[I&amp;S Tax Rate]]+Table7[[#This Row],[M&amp;O Tax Rate]])</f>
        <v>0.17816899999999999</v>
      </c>
      <c r="L128" s="92">
        <v>1174.3699999999999</v>
      </c>
      <c r="R128" s="48"/>
    </row>
    <row r="129" spans="1:18" s="21" customFormat="1" ht="15.75" x14ac:dyDescent="0.25">
      <c r="A129" s="22">
        <v>2018</v>
      </c>
      <c r="B129" s="51"/>
      <c r="C129" s="96">
        <v>15</v>
      </c>
      <c r="D129" s="97" t="s">
        <v>48</v>
      </c>
      <c r="E129" s="92">
        <v>763870</v>
      </c>
      <c r="F129" s="87">
        <v>659130</v>
      </c>
      <c r="G129" s="131">
        <v>0.17932899999999999</v>
      </c>
      <c r="H129" s="131">
        <v>0.18821299999999999</v>
      </c>
      <c r="I129" s="131">
        <v>0.12720999999999999</v>
      </c>
      <c r="J129" s="131">
        <v>5.2118999999999999E-2</v>
      </c>
      <c r="K129" s="131">
        <f>SUM(Table7[[#This Row],[I&amp;S Tax Rate]]+Table7[[#This Row],[M&amp;O Tax Rate]])</f>
        <v>0.17932899999999999</v>
      </c>
      <c r="L129" s="131">
        <v>1182</v>
      </c>
      <c r="M129" s="131"/>
      <c r="R129" s="48"/>
    </row>
    <row r="130" spans="1:18" s="21" customFormat="1" ht="15.75" x14ac:dyDescent="0.25">
      <c r="A130" s="22">
        <v>2017</v>
      </c>
      <c r="B130" s="22"/>
      <c r="C130" s="96">
        <v>15</v>
      </c>
      <c r="D130" s="97" t="s">
        <v>48</v>
      </c>
      <c r="E130" s="92">
        <v>763870</v>
      </c>
      <c r="F130" s="92">
        <v>659130</v>
      </c>
      <c r="G130" s="131">
        <v>0.183335</v>
      </c>
      <c r="H130" s="131">
        <v>0.194768</v>
      </c>
      <c r="I130" s="131">
        <v>0.128828</v>
      </c>
      <c r="J130" s="131">
        <v>5.4507E-2</v>
      </c>
      <c r="K130" s="131">
        <v>0.183335</v>
      </c>
      <c r="L130" s="92">
        <v>1208</v>
      </c>
      <c r="R130" s="48"/>
    </row>
    <row r="131" spans="1:18" ht="15.75" x14ac:dyDescent="0.25">
      <c r="A131" s="22" t="s">
        <v>62</v>
      </c>
      <c r="B131" s="51" t="s">
        <v>63</v>
      </c>
      <c r="C131" s="132"/>
      <c r="D131" s="132"/>
      <c r="E131" s="130"/>
      <c r="F131" s="101"/>
      <c r="G131" s="52"/>
      <c r="H131" s="58"/>
      <c r="I131" s="52"/>
      <c r="J131" s="58"/>
      <c r="K131" s="52"/>
      <c r="L131" s="92"/>
    </row>
    <row r="132" spans="1:18" s="21" customFormat="1" ht="15.75" x14ac:dyDescent="0.25">
      <c r="A132" s="22">
        <v>2021</v>
      </c>
      <c r="B132" s="48"/>
      <c r="C132" s="96">
        <v>8</v>
      </c>
      <c r="D132" s="96" t="s">
        <v>48</v>
      </c>
      <c r="E132" s="87">
        <v>258200</v>
      </c>
      <c r="F132" s="87">
        <v>258200</v>
      </c>
      <c r="G132" s="53">
        <v>0</v>
      </c>
      <c r="H132" s="53">
        <v>0.21424399999999999</v>
      </c>
      <c r="I132" s="53">
        <v>0.21424399999999999</v>
      </c>
      <c r="J132" s="53">
        <v>0</v>
      </c>
      <c r="K132" s="53">
        <v>0.21424399999999999</v>
      </c>
      <c r="L132" s="92">
        <v>553</v>
      </c>
      <c r="R132" s="48"/>
    </row>
    <row r="133" spans="1:18" ht="15.75" x14ac:dyDescent="0.25">
      <c r="A133" s="22">
        <v>2020</v>
      </c>
      <c r="B133" s="48"/>
      <c r="C133" s="96">
        <v>8</v>
      </c>
      <c r="D133" s="96" t="s">
        <v>48</v>
      </c>
      <c r="E133" s="87">
        <v>256580</v>
      </c>
      <c r="F133" s="87">
        <v>256580</v>
      </c>
      <c r="G133" s="53">
        <v>0</v>
      </c>
      <c r="H133" s="53">
        <v>0.220024</v>
      </c>
      <c r="I133" s="53">
        <v>0.220024</v>
      </c>
      <c r="J133" s="53">
        <v>0</v>
      </c>
      <c r="K133" s="53">
        <v>0.220024</v>
      </c>
      <c r="L133" s="92">
        <v>566</v>
      </c>
    </row>
    <row r="134" spans="1:18" ht="15.75" x14ac:dyDescent="0.25">
      <c r="A134" s="22">
        <v>2019</v>
      </c>
      <c r="B134" s="48"/>
      <c r="C134" s="96">
        <v>8</v>
      </c>
      <c r="D134" s="96" t="s">
        <v>48</v>
      </c>
      <c r="E134" s="87">
        <v>251470</v>
      </c>
      <c r="F134" s="87">
        <v>251470</v>
      </c>
      <c r="G134" s="53">
        <v>0</v>
      </c>
      <c r="H134" s="53">
        <v>0.22528599999999999</v>
      </c>
      <c r="I134" s="53">
        <v>0.22058700000000001</v>
      </c>
      <c r="J134" s="53">
        <v>0</v>
      </c>
      <c r="K134" s="53">
        <f>SUM(I134+J134)</f>
        <v>0.22058700000000001</v>
      </c>
      <c r="L134" s="92">
        <v>555</v>
      </c>
    </row>
    <row r="135" spans="1:18" ht="15.75" x14ac:dyDescent="0.25">
      <c r="A135" s="22">
        <v>2018</v>
      </c>
      <c r="B135" s="51"/>
      <c r="C135" s="96">
        <v>8</v>
      </c>
      <c r="D135" s="96" t="s">
        <v>48</v>
      </c>
      <c r="E135" s="87">
        <v>135546</v>
      </c>
      <c r="F135" s="87">
        <v>237010</v>
      </c>
      <c r="G135" s="53">
        <v>0</v>
      </c>
      <c r="H135" s="53">
        <v>0.239264</v>
      </c>
      <c r="I135" s="53">
        <v>0.22058700000000001</v>
      </c>
      <c r="J135" s="53">
        <v>0</v>
      </c>
      <c r="K135" s="53">
        <f>SUM(Table7[[#This Row],[M&amp;O Tax Rate]]+Table7[[#This Row],[I&amp;S Tax Rate]])</f>
        <v>0.22058700000000001</v>
      </c>
      <c r="L135" s="92">
        <v>523</v>
      </c>
    </row>
    <row r="136" spans="1:18" ht="15.75" x14ac:dyDescent="0.25">
      <c r="A136" s="22">
        <v>2017</v>
      </c>
      <c r="B136" s="48"/>
      <c r="C136" s="96">
        <v>8</v>
      </c>
      <c r="D136" s="96" t="s">
        <v>48</v>
      </c>
      <c r="E136" s="87">
        <v>208290</v>
      </c>
      <c r="F136" s="87">
        <v>208290</v>
      </c>
      <c r="G136" s="53">
        <v>0</v>
      </c>
      <c r="H136" s="53">
        <v>0.22118699999999999</v>
      </c>
      <c r="I136" s="53">
        <v>0.217504</v>
      </c>
      <c r="J136" s="53">
        <v>3.0829999999999998E-3</v>
      </c>
      <c r="K136" s="53">
        <v>0.22058700000000001</v>
      </c>
      <c r="L136" s="92">
        <v>459.46</v>
      </c>
    </row>
    <row r="137" spans="1:18" ht="15.75" x14ac:dyDescent="0.25">
      <c r="A137" s="22" t="s">
        <v>44</v>
      </c>
      <c r="B137" s="51" t="s">
        <v>88</v>
      </c>
      <c r="C137" s="132"/>
      <c r="D137" s="132"/>
      <c r="E137" s="130"/>
      <c r="F137" s="101"/>
      <c r="G137" s="163"/>
      <c r="H137" s="163"/>
      <c r="I137" s="163"/>
      <c r="J137" s="163"/>
      <c r="K137" s="163"/>
      <c r="L137" s="165"/>
    </row>
    <row r="138" spans="1:18" ht="15.75" x14ac:dyDescent="0.25">
      <c r="A138" s="22">
        <v>2021</v>
      </c>
      <c r="B138" s="48"/>
      <c r="C138" s="96">
        <v>4</v>
      </c>
      <c r="D138" s="96"/>
      <c r="E138" s="87">
        <v>4121260</v>
      </c>
      <c r="F138" s="87">
        <v>4007360</v>
      </c>
      <c r="G138" s="164">
        <v>0</v>
      </c>
      <c r="H138" s="164">
        <v>0</v>
      </c>
      <c r="I138" s="164">
        <v>1.5</v>
      </c>
      <c r="J138" s="164">
        <v>0</v>
      </c>
      <c r="K138" s="164">
        <f>SUM(Table7[[#This Row],[M&amp;O Tax Rate]]+Table7[[#This Row],[I&amp;S Tax Rate]])</f>
        <v>1.5</v>
      </c>
      <c r="L138" s="165">
        <v>60110.400000000001</v>
      </c>
    </row>
    <row r="139" spans="1:18" ht="15.75" x14ac:dyDescent="0.25">
      <c r="A139" s="22">
        <v>2020</v>
      </c>
      <c r="B139" s="48"/>
      <c r="C139" s="96">
        <v>4</v>
      </c>
      <c r="D139" s="96"/>
      <c r="E139" s="87">
        <v>0</v>
      </c>
      <c r="F139" s="87">
        <v>0</v>
      </c>
      <c r="G139" s="164">
        <v>0</v>
      </c>
      <c r="H139" s="164">
        <v>0</v>
      </c>
      <c r="I139" s="164">
        <v>0</v>
      </c>
      <c r="J139" s="164">
        <v>0</v>
      </c>
      <c r="K139" s="164">
        <f>SUM(Table7[[#This Row],[M&amp;O Tax Rate]]+Table7[[#This Row],[I&amp;S Tax Rate]])</f>
        <v>0</v>
      </c>
      <c r="L139" s="165"/>
    </row>
    <row r="140" spans="1:18" ht="15.75" x14ac:dyDescent="0.25">
      <c r="A140" s="22">
        <v>2019</v>
      </c>
      <c r="B140" s="48"/>
      <c r="C140" s="96">
        <v>4</v>
      </c>
      <c r="D140" s="96"/>
      <c r="E140" s="87">
        <v>0</v>
      </c>
      <c r="F140" s="87">
        <v>0</v>
      </c>
      <c r="G140" s="164">
        <v>0</v>
      </c>
      <c r="H140" s="164">
        <v>0</v>
      </c>
      <c r="I140" s="164">
        <v>0</v>
      </c>
      <c r="J140" s="164">
        <v>0</v>
      </c>
      <c r="K140" s="164">
        <f>SUM(Table7[[#This Row],[M&amp;O Tax Rate]]+Table7[[#This Row],[I&amp;S Tax Rate]])</f>
        <v>0</v>
      </c>
      <c r="L140" s="165"/>
    </row>
    <row r="141" spans="1:18" ht="15.75" x14ac:dyDescent="0.25">
      <c r="A141" s="22">
        <v>2018</v>
      </c>
      <c r="B141" s="51"/>
      <c r="C141" s="96">
        <v>4</v>
      </c>
      <c r="D141" s="96"/>
      <c r="E141" s="87">
        <v>0</v>
      </c>
      <c r="F141" s="87">
        <v>0</v>
      </c>
      <c r="G141" s="164">
        <v>0</v>
      </c>
      <c r="H141" s="164">
        <v>0</v>
      </c>
      <c r="I141" s="164">
        <v>0</v>
      </c>
      <c r="J141" s="164">
        <v>0</v>
      </c>
      <c r="K141" s="164">
        <f>SUM(Table7[[#This Row],[M&amp;O Tax Rate]]+Table7[[#This Row],[I&amp;S Tax Rate]])</f>
        <v>0</v>
      </c>
      <c r="L141" s="165"/>
    </row>
    <row r="142" spans="1:18" ht="15.75" x14ac:dyDescent="0.25">
      <c r="A142" s="166">
        <v>2017</v>
      </c>
      <c r="B142" s="167"/>
      <c r="C142" s="100">
        <v>4</v>
      </c>
      <c r="D142" s="100"/>
      <c r="E142" s="87">
        <v>0</v>
      </c>
      <c r="F142" s="87">
        <v>0</v>
      </c>
      <c r="G142" s="164">
        <v>0</v>
      </c>
      <c r="H142" s="164">
        <v>0</v>
      </c>
      <c r="I142" s="164">
        <v>0</v>
      </c>
      <c r="J142" s="168">
        <v>0</v>
      </c>
      <c r="K142" s="168">
        <v>0</v>
      </c>
      <c r="L142" s="169"/>
    </row>
  </sheetData>
  <printOptions horizontalCentered="1" verticalCentered="1"/>
  <pageMargins left="0.7" right="0.7" top="0.75" bottom="0.75" header="0.3" footer="0.3"/>
  <pageSetup paperSize="5" fitToWidth="0" orientation="landscape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COUNTY</vt:lpstr>
      <vt:lpstr>ISD</vt:lpstr>
      <vt:lpstr>CITY</vt:lpstr>
      <vt:lpstr>SPECIAL DIS.</vt:lpstr>
      <vt:lpstr>Sheet5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Tax 4</dc:creator>
  <cp:lastModifiedBy>Lily Vargas</cp:lastModifiedBy>
  <cp:lastPrinted>2016-10-21T14:02:08Z</cp:lastPrinted>
  <dcterms:created xsi:type="dcterms:W3CDTF">2014-09-05T14:37:03Z</dcterms:created>
  <dcterms:modified xsi:type="dcterms:W3CDTF">2021-11-04T13:10:52Z</dcterms:modified>
</cp:coreProperties>
</file>